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WD files\Behaviour Partnerships\LA\21-22\County Board Summer 22\"/>
    </mc:Choice>
  </mc:AlternateContent>
  <xr:revisionPtr revIDLastSave="0" documentId="8_{F70615DC-A39B-4607-83A6-DA5FA3ABC65D}" xr6:coauthVersionLast="47" xr6:coauthVersionMax="47" xr10:uidLastSave="{00000000-0000-0000-0000-000000000000}"/>
  <workbookProtection workbookAlgorithmName="SHA-512" workbookHashValue="aS3PNRiFMCKABmOzP4GTyfQDyN6S94TQdjpUHIXPwnVpfq0d2xCyuDhPakmvIkZXVeDsPRvzk1/1rO+Hn9yd5A==" workbookSaltValue="4cpgEb3g4sDW4CBMBzibiQ==" workbookSpinCount="100000" lockStructure="1"/>
  <bookViews>
    <workbookView xWindow="-120" yWindow="-120" windowWidth="38640" windowHeight="21120" xr2:uid="{00000000-000D-0000-FFFF-FFFF00000000}"/>
  </bookViews>
  <sheets>
    <sheet name="HBEP" sheetId="1" r:id="rId1"/>
    <sheet name="LIP" sheetId="2" r:id="rId2"/>
    <sheet name="MSCIP" sheetId="3" r:id="rId3"/>
    <sheet name="NWLLIP" sheetId="4" r:id="rId4"/>
    <sheet name="SLIP" sheetId="5" r:id="rId5"/>
    <sheet name="County" sheetId="7" r:id="rId6"/>
    <sheet name="Budgets"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0" i="5" l="1"/>
  <c r="Q65" i="7" s="1"/>
  <c r="C100" i="5"/>
  <c r="G100" i="4"/>
  <c r="P65" i="7" s="1"/>
  <c r="B100" i="4"/>
  <c r="G100" i="3"/>
  <c r="O65" i="7" s="1"/>
  <c r="B100" i="3"/>
  <c r="G100" i="2"/>
  <c r="N65" i="7" s="1"/>
  <c r="B100" i="2"/>
  <c r="G100" i="1"/>
  <c r="M65" i="7" s="1"/>
  <c r="B100" i="1"/>
  <c r="G100" i="7"/>
  <c r="R65" i="7" s="1"/>
  <c r="B100" i="7"/>
  <c r="Q66" i="7"/>
  <c r="P66" i="7"/>
  <c r="R66" i="7"/>
  <c r="O66" i="7"/>
  <c r="N66" i="7"/>
  <c r="M66" i="7"/>
  <c r="H46" i="7" l="1"/>
  <c r="H44" i="7"/>
  <c r="B50" i="7"/>
  <c r="E89" i="7"/>
  <c r="B89" i="7"/>
  <c r="G88" i="7"/>
  <c r="E88" i="7"/>
  <c r="B88" i="7"/>
  <c r="G87" i="7"/>
  <c r="E87" i="7"/>
  <c r="B87" i="7"/>
  <c r="G86" i="7"/>
  <c r="E86" i="7"/>
  <c r="B86" i="7"/>
  <c r="G85" i="7"/>
  <c r="G89" i="7" s="1"/>
  <c r="E85" i="7"/>
  <c r="B85" i="7"/>
  <c r="G84" i="7"/>
  <c r="E84" i="7"/>
  <c r="B84" i="7"/>
  <c r="G83" i="7"/>
  <c r="E83" i="7"/>
  <c r="B83" i="7"/>
  <c r="G82" i="7"/>
  <c r="E82" i="7"/>
  <c r="B82" i="7"/>
  <c r="G81" i="7"/>
  <c r="E81" i="7"/>
  <c r="B81" i="7"/>
  <c r="G80" i="7"/>
  <c r="E80" i="7"/>
  <c r="B80" i="7"/>
  <c r="G79" i="7"/>
  <c r="E79" i="7"/>
  <c r="B79" i="7"/>
  <c r="G75" i="7"/>
  <c r="E75" i="7"/>
  <c r="B75" i="7"/>
  <c r="G74" i="7"/>
  <c r="E74" i="7"/>
  <c r="B74" i="7"/>
  <c r="G72" i="7"/>
  <c r="E72" i="7"/>
  <c r="B72" i="7"/>
  <c r="G71" i="7"/>
  <c r="E71" i="7"/>
  <c r="B71" i="7"/>
  <c r="G70" i="7"/>
  <c r="E70" i="7"/>
  <c r="E76" i="7" s="1"/>
  <c r="B70" i="7"/>
  <c r="B76" i="7" s="1"/>
  <c r="G67" i="7"/>
  <c r="E67" i="7"/>
  <c r="B67" i="7"/>
  <c r="G66" i="7"/>
  <c r="E66" i="7"/>
  <c r="B66" i="7"/>
  <c r="B94" i="7" s="1"/>
  <c r="C62" i="5"/>
  <c r="B62" i="4"/>
  <c r="G101" i="3"/>
  <c r="E101" i="3"/>
  <c r="B101" i="3"/>
  <c r="B62" i="3"/>
  <c r="B62" i="2"/>
  <c r="B62" i="1"/>
  <c r="B95" i="7" l="1"/>
  <c r="B96" i="7"/>
  <c r="E94" i="7"/>
  <c r="G94" i="7"/>
  <c r="B91" i="7"/>
  <c r="E91" i="7"/>
  <c r="G76" i="7"/>
  <c r="G91" i="7" s="1"/>
  <c r="G95" i="7" l="1"/>
  <c r="G96" i="7"/>
  <c r="E95" i="7"/>
  <c r="E96" i="7"/>
  <c r="G88" i="1" l="1"/>
  <c r="G87" i="1"/>
  <c r="G86" i="1"/>
  <c r="G85" i="1"/>
  <c r="G84" i="1"/>
  <c r="G83" i="1"/>
  <c r="G82" i="1"/>
  <c r="G81" i="1"/>
  <c r="G80" i="1"/>
  <c r="G79" i="1"/>
  <c r="G75" i="1"/>
  <c r="G74" i="1"/>
  <c r="G72" i="1"/>
  <c r="G71" i="1"/>
  <c r="G70" i="1"/>
  <c r="G67" i="1"/>
  <c r="G66" i="1"/>
  <c r="G88" i="2"/>
  <c r="G87" i="2"/>
  <c r="G86" i="2"/>
  <c r="G85" i="2"/>
  <c r="G84" i="2"/>
  <c r="G83" i="2"/>
  <c r="G82" i="2"/>
  <c r="G81" i="2"/>
  <c r="G80" i="2"/>
  <c r="G79" i="2"/>
  <c r="G89" i="2" s="1"/>
  <c r="G75" i="2"/>
  <c r="G74" i="2"/>
  <c r="G72" i="2"/>
  <c r="G71" i="2"/>
  <c r="G70" i="2"/>
  <c r="G67" i="2"/>
  <c r="G66" i="2"/>
  <c r="G88" i="3"/>
  <c r="G87" i="3"/>
  <c r="G86" i="3"/>
  <c r="G85" i="3"/>
  <c r="G84" i="3"/>
  <c r="G83" i="3"/>
  <c r="G82" i="3"/>
  <c r="G81" i="3"/>
  <c r="G80" i="3"/>
  <c r="G79" i="3"/>
  <c r="G75" i="3"/>
  <c r="G74" i="3"/>
  <c r="G72" i="3"/>
  <c r="G71" i="3"/>
  <c r="G70" i="3"/>
  <c r="G67" i="3"/>
  <c r="G66" i="3"/>
  <c r="H88" i="5"/>
  <c r="H87" i="5"/>
  <c r="H86" i="5"/>
  <c r="H85" i="5"/>
  <c r="H84" i="5"/>
  <c r="H83" i="5"/>
  <c r="H82" i="5"/>
  <c r="H81" i="5"/>
  <c r="H80" i="5"/>
  <c r="H79" i="5"/>
  <c r="H89" i="5" s="1"/>
  <c r="H75" i="5"/>
  <c r="H74" i="5"/>
  <c r="H72" i="5"/>
  <c r="H71" i="5"/>
  <c r="H70" i="5"/>
  <c r="H76" i="5" s="1"/>
  <c r="H91" i="5" s="1"/>
  <c r="H67" i="5"/>
  <c r="H66" i="5"/>
  <c r="H94" i="5" l="1"/>
  <c r="G89" i="3"/>
  <c r="G89" i="1"/>
  <c r="G76" i="1"/>
  <c r="G76" i="2"/>
  <c r="G91" i="2" s="1"/>
  <c r="G94" i="2" s="1"/>
  <c r="G76" i="3"/>
  <c r="G91" i="3" s="1"/>
  <c r="G94" i="3" s="1"/>
  <c r="H15" i="2"/>
  <c r="H14" i="2"/>
  <c r="H95" i="5" l="1"/>
  <c r="H96" i="5"/>
  <c r="G91" i="1"/>
  <c r="G94" i="1" s="1"/>
  <c r="G96" i="1" s="1"/>
  <c r="G96" i="2"/>
  <c r="G95" i="2"/>
  <c r="G96" i="3"/>
  <c r="G95" i="3"/>
  <c r="J42" i="1"/>
  <c r="I42" i="1"/>
  <c r="D42" i="1"/>
  <c r="G42" i="1" s="1"/>
  <c r="J41" i="1"/>
  <c r="I41" i="1"/>
  <c r="B41" i="1"/>
  <c r="D41" i="1" s="1"/>
  <c r="J40" i="1"/>
  <c r="I40" i="1"/>
  <c r="B40" i="1"/>
  <c r="D40" i="1" s="1"/>
  <c r="J38" i="1"/>
  <c r="I38" i="1"/>
  <c r="D38" i="1"/>
  <c r="G38" i="1" s="1"/>
  <c r="J37" i="1"/>
  <c r="I37" i="1"/>
  <c r="D37" i="1"/>
  <c r="G37" i="1" s="1"/>
  <c r="J35" i="1"/>
  <c r="I35" i="1"/>
  <c r="D35" i="1"/>
  <c r="G35" i="1" s="1"/>
  <c r="J34" i="1"/>
  <c r="I34" i="1"/>
  <c r="G34" i="1"/>
  <c r="F34" i="1"/>
  <c r="D34" i="1"/>
  <c r="J33" i="1"/>
  <c r="I33" i="1"/>
  <c r="D33" i="1"/>
  <c r="G33" i="1" s="1"/>
  <c r="J32" i="1"/>
  <c r="I32" i="1"/>
  <c r="D32" i="1"/>
  <c r="G32" i="1" s="1"/>
  <c r="J31" i="1"/>
  <c r="I31" i="1"/>
  <c r="G31" i="1"/>
  <c r="D31" i="1"/>
  <c r="F31" i="1" s="1"/>
  <c r="J30" i="1"/>
  <c r="I30" i="1"/>
  <c r="B30" i="1"/>
  <c r="D30" i="1" s="1"/>
  <c r="J28" i="1"/>
  <c r="I28" i="1"/>
  <c r="B28" i="1"/>
  <c r="D28" i="1" s="1"/>
  <c r="J27" i="1"/>
  <c r="I27" i="1"/>
  <c r="D27" i="1"/>
  <c r="G27" i="1" s="1"/>
  <c r="J26" i="1"/>
  <c r="I26" i="1"/>
  <c r="D26" i="1"/>
  <c r="F26" i="1" s="1"/>
  <c r="J25" i="1"/>
  <c r="I25" i="1"/>
  <c r="D25" i="1"/>
  <c r="G25" i="1" s="1"/>
  <c r="J24" i="1"/>
  <c r="I24" i="1"/>
  <c r="D24" i="1"/>
  <c r="G24" i="1" s="1"/>
  <c r="J22" i="1"/>
  <c r="I22" i="1"/>
  <c r="B22" i="1"/>
  <c r="D22" i="1" s="1"/>
  <c r="J21" i="1"/>
  <c r="I21" i="1"/>
  <c r="B21" i="1"/>
  <c r="D21" i="1" s="1"/>
  <c r="J20" i="1"/>
  <c r="I20" i="1"/>
  <c r="B20" i="1"/>
  <c r="D20" i="1" s="1"/>
  <c r="J18" i="1"/>
  <c r="I18" i="1"/>
  <c r="D18" i="1"/>
  <c r="G18" i="1" s="1"/>
  <c r="J17" i="1"/>
  <c r="I17" i="1"/>
  <c r="B17" i="1"/>
  <c r="D17" i="1" s="1"/>
  <c r="H15" i="1"/>
  <c r="E15" i="1"/>
  <c r="C15" i="1"/>
  <c r="H14" i="1"/>
  <c r="E14" i="1"/>
  <c r="J12" i="1"/>
  <c r="I12" i="1"/>
  <c r="B12" i="1"/>
  <c r="D12" i="1" s="1"/>
  <c r="J11" i="1"/>
  <c r="I11" i="1"/>
  <c r="B11" i="1"/>
  <c r="D11" i="1" s="1"/>
  <c r="J10" i="1"/>
  <c r="I10" i="1"/>
  <c r="D10" i="1"/>
  <c r="G10" i="1" s="1"/>
  <c r="J9" i="1"/>
  <c r="I9" i="1"/>
  <c r="D9" i="1"/>
  <c r="G9" i="1" s="1"/>
  <c r="J8" i="1"/>
  <c r="I8" i="1"/>
  <c r="B8" i="1"/>
  <c r="D8" i="1" s="1"/>
  <c r="J7" i="1"/>
  <c r="I7" i="1"/>
  <c r="B7" i="1"/>
  <c r="J6" i="1"/>
  <c r="I6" i="1"/>
  <c r="F6" i="1"/>
  <c r="D6" i="1"/>
  <c r="G6" i="1" s="1"/>
  <c r="K42" i="5"/>
  <c r="J42" i="5"/>
  <c r="E42" i="5"/>
  <c r="H42" i="5" s="1"/>
  <c r="K41" i="5"/>
  <c r="J41" i="5"/>
  <c r="C41" i="5"/>
  <c r="E41" i="5" s="1"/>
  <c r="K40" i="5"/>
  <c r="J40" i="5"/>
  <c r="E40" i="5"/>
  <c r="H40" i="5" s="1"/>
  <c r="K38" i="5"/>
  <c r="J38" i="5"/>
  <c r="E38" i="5"/>
  <c r="H38" i="5" s="1"/>
  <c r="K37" i="5"/>
  <c r="J37" i="5"/>
  <c r="E37" i="5"/>
  <c r="G37" i="5" s="1"/>
  <c r="K36" i="5"/>
  <c r="J36" i="5"/>
  <c r="E36" i="5"/>
  <c r="H36" i="5" s="1"/>
  <c r="K35" i="5"/>
  <c r="J35" i="5"/>
  <c r="E35" i="5"/>
  <c r="G35" i="5" s="1"/>
  <c r="K34" i="5"/>
  <c r="J34" i="5"/>
  <c r="C34" i="5"/>
  <c r="E34" i="5" s="1"/>
  <c r="H34" i="5" s="1"/>
  <c r="K33" i="5"/>
  <c r="J33" i="5"/>
  <c r="E33" i="5"/>
  <c r="H33" i="5" s="1"/>
  <c r="K32" i="5"/>
  <c r="J32" i="5"/>
  <c r="E32" i="5"/>
  <c r="H32" i="5" s="1"/>
  <c r="K31" i="5"/>
  <c r="J31" i="5"/>
  <c r="E31" i="5"/>
  <c r="G31" i="5" s="1"/>
  <c r="F30" i="5"/>
  <c r="H30" i="5" s="1"/>
  <c r="E30" i="5"/>
  <c r="F28" i="5"/>
  <c r="K28" i="5" s="1"/>
  <c r="C28" i="5"/>
  <c r="E28" i="5" s="1"/>
  <c r="F27" i="5"/>
  <c r="K27" i="5" s="1"/>
  <c r="C27" i="5"/>
  <c r="E27" i="5" s="1"/>
  <c r="F26" i="5"/>
  <c r="K26" i="5" s="1"/>
  <c r="E26" i="5"/>
  <c r="F25" i="5"/>
  <c r="J25" i="5" s="1"/>
  <c r="C25" i="5"/>
  <c r="E25" i="5" s="1"/>
  <c r="H25" i="5" s="1"/>
  <c r="K24" i="5"/>
  <c r="J24" i="5"/>
  <c r="E24" i="5"/>
  <c r="H24" i="5" s="1"/>
  <c r="K22" i="5"/>
  <c r="J22" i="5"/>
  <c r="E22" i="5"/>
  <c r="H22" i="5" s="1"/>
  <c r="F21" i="5"/>
  <c r="K21" i="5" s="1"/>
  <c r="E21" i="5"/>
  <c r="F20" i="5"/>
  <c r="K20" i="5" s="1"/>
  <c r="C20" i="5"/>
  <c r="E20" i="5" s="1"/>
  <c r="K18" i="5"/>
  <c r="J18" i="5"/>
  <c r="E18" i="5"/>
  <c r="H18" i="5" s="1"/>
  <c r="F17" i="5"/>
  <c r="J17" i="5" s="1"/>
  <c r="E17" i="5"/>
  <c r="H17" i="5" s="1"/>
  <c r="F15" i="5"/>
  <c r="D15" i="5"/>
  <c r="C15" i="5"/>
  <c r="E15" i="5" s="1"/>
  <c r="I14" i="5"/>
  <c r="F14" i="5"/>
  <c r="K12" i="5"/>
  <c r="J12" i="5"/>
  <c r="E12" i="5"/>
  <c r="G12" i="5" s="1"/>
  <c r="K11" i="5"/>
  <c r="J11" i="5"/>
  <c r="E11" i="5"/>
  <c r="H11" i="5" s="1"/>
  <c r="K10" i="5"/>
  <c r="J10" i="5"/>
  <c r="E10" i="5"/>
  <c r="G10" i="5" s="1"/>
  <c r="K9" i="5"/>
  <c r="J9" i="5"/>
  <c r="E9" i="5"/>
  <c r="G9" i="5" s="1"/>
  <c r="K8" i="5"/>
  <c r="J8" i="5"/>
  <c r="E8" i="5"/>
  <c r="H8" i="5" s="1"/>
  <c r="K7" i="5"/>
  <c r="J7" i="5"/>
  <c r="E7" i="5"/>
  <c r="G7" i="5" s="1"/>
  <c r="K6" i="5"/>
  <c r="J6" i="5"/>
  <c r="E6" i="5"/>
  <c r="H6" i="5" s="1"/>
  <c r="K14" i="5" l="1"/>
  <c r="J20" i="5"/>
  <c r="J30" i="5"/>
  <c r="H21" i="5"/>
  <c r="H26" i="5"/>
  <c r="K30" i="5"/>
  <c r="E14" i="5"/>
  <c r="G17" i="5"/>
  <c r="H27" i="5"/>
  <c r="H31" i="5"/>
  <c r="H37" i="5"/>
  <c r="H10" i="5"/>
  <c r="K17" i="5"/>
  <c r="J27" i="5"/>
  <c r="H9" i="5"/>
  <c r="K25" i="5"/>
  <c r="H20" i="5"/>
  <c r="G30" i="5"/>
  <c r="G26" i="1"/>
  <c r="F10" i="1"/>
  <c r="F37" i="1"/>
  <c r="F25" i="1"/>
  <c r="B15" i="1"/>
  <c r="D15" i="1" s="1"/>
  <c r="G15" i="1" s="1"/>
  <c r="J14" i="1"/>
  <c r="G95" i="1"/>
  <c r="J15" i="1"/>
  <c r="I14" i="1"/>
  <c r="J14" i="5"/>
  <c r="I15" i="5"/>
  <c r="K15" i="5" s="1"/>
  <c r="G40" i="1"/>
  <c r="F40" i="1"/>
  <c r="F8" i="1"/>
  <c r="G8" i="1"/>
  <c r="G17" i="1"/>
  <c r="F17" i="1"/>
  <c r="G41" i="1"/>
  <c r="F41" i="1"/>
  <c r="G28" i="1"/>
  <c r="F28" i="1"/>
  <c r="G12" i="1"/>
  <c r="F12" i="1"/>
  <c r="G20" i="1"/>
  <c r="F20" i="1"/>
  <c r="G22" i="1"/>
  <c r="F22" i="1"/>
  <c r="G30" i="1"/>
  <c r="F30" i="1"/>
  <c r="G11" i="1"/>
  <c r="F11" i="1"/>
  <c r="F21" i="1"/>
  <c r="G21" i="1"/>
  <c r="F24" i="1"/>
  <c r="F32" i="1"/>
  <c r="F18" i="1"/>
  <c r="F38" i="1"/>
  <c r="F27" i="1"/>
  <c r="D7" i="1"/>
  <c r="D14" i="1" s="1"/>
  <c r="G14" i="1" s="1"/>
  <c r="F9" i="1"/>
  <c r="I15" i="1"/>
  <c r="F35" i="1"/>
  <c r="F15" i="1"/>
  <c r="F33" i="1"/>
  <c r="F42" i="1"/>
  <c r="H28" i="5"/>
  <c r="G28" i="5"/>
  <c r="H41" i="5"/>
  <c r="G41" i="5"/>
  <c r="G20" i="5"/>
  <c r="G27" i="5"/>
  <c r="H7" i="5"/>
  <c r="G24" i="5"/>
  <c r="G33" i="5"/>
  <c r="H35" i="5"/>
  <c r="H12" i="5"/>
  <c r="G18" i="5"/>
  <c r="G26" i="5"/>
  <c r="G15" i="5"/>
  <c r="G21" i="5"/>
  <c r="G38" i="5"/>
  <c r="J26" i="5"/>
  <c r="G8" i="5"/>
  <c r="G14" i="5" s="1"/>
  <c r="J21" i="5"/>
  <c r="G36" i="5"/>
  <c r="J28" i="5"/>
  <c r="G6" i="5"/>
  <c r="G34" i="5"/>
  <c r="G42" i="5"/>
  <c r="G11" i="5"/>
  <c r="G22" i="5"/>
  <c r="G25" i="5"/>
  <c r="G32" i="5"/>
  <c r="G40" i="5"/>
  <c r="J15" i="5" l="1"/>
  <c r="F7" i="1"/>
  <c r="G7" i="1"/>
  <c r="H43" i="4"/>
  <c r="H42" i="4"/>
  <c r="J42" i="4" s="1"/>
  <c r="D42" i="4"/>
  <c r="G42" i="4" s="1"/>
  <c r="H41" i="4"/>
  <c r="D41" i="4"/>
  <c r="F41" i="4" s="1"/>
  <c r="H40" i="4"/>
  <c r="D40" i="4"/>
  <c r="G40" i="4" s="1"/>
  <c r="H38" i="4"/>
  <c r="J38" i="4" s="1"/>
  <c r="D38" i="4"/>
  <c r="G38" i="4" s="1"/>
  <c r="H37" i="4"/>
  <c r="D37" i="4"/>
  <c r="G37" i="4" s="1"/>
  <c r="H36" i="4"/>
  <c r="J36" i="4" s="1"/>
  <c r="G36" i="4"/>
  <c r="D36" i="4"/>
  <c r="F36" i="4" s="1"/>
  <c r="H35" i="4"/>
  <c r="J35" i="4" s="1"/>
  <c r="D35" i="4"/>
  <c r="G35" i="4" s="1"/>
  <c r="H34" i="4"/>
  <c r="J34" i="4" s="1"/>
  <c r="F34" i="4"/>
  <c r="D34" i="4"/>
  <c r="G34" i="4" s="1"/>
  <c r="H33" i="4"/>
  <c r="J33" i="4" s="1"/>
  <c r="D33" i="4"/>
  <c r="G33" i="4" s="1"/>
  <c r="H32" i="4"/>
  <c r="J32" i="4" s="1"/>
  <c r="D32" i="4"/>
  <c r="G32" i="4" s="1"/>
  <c r="H31" i="4"/>
  <c r="J31" i="4" s="1"/>
  <c r="D31" i="4"/>
  <c r="G31" i="4" s="1"/>
  <c r="H30" i="4"/>
  <c r="J30" i="4" s="1"/>
  <c r="D30" i="4"/>
  <c r="G30" i="4" s="1"/>
  <c r="H28" i="4"/>
  <c r="F28" i="4"/>
  <c r="D28" i="4"/>
  <c r="G28" i="4" s="1"/>
  <c r="H27" i="4"/>
  <c r="J27" i="4" s="1"/>
  <c r="F27" i="4"/>
  <c r="D27" i="4"/>
  <c r="G27" i="4" s="1"/>
  <c r="H26" i="4"/>
  <c r="F26" i="4"/>
  <c r="D26" i="4"/>
  <c r="G26" i="4" s="1"/>
  <c r="H25" i="4"/>
  <c r="G25" i="4"/>
  <c r="F25" i="4"/>
  <c r="D25" i="4"/>
  <c r="H24" i="4"/>
  <c r="J24" i="4" s="1"/>
  <c r="D24" i="4"/>
  <c r="G24" i="4" s="1"/>
  <c r="H22" i="4"/>
  <c r="D22" i="4"/>
  <c r="G22" i="4" s="1"/>
  <c r="H21" i="4"/>
  <c r="J21" i="4" s="1"/>
  <c r="D21" i="4"/>
  <c r="G21" i="4" s="1"/>
  <c r="H20" i="4"/>
  <c r="D20" i="4"/>
  <c r="G20" i="4" s="1"/>
  <c r="H18" i="4"/>
  <c r="F18" i="4"/>
  <c r="D18" i="4"/>
  <c r="G18" i="4" s="1"/>
  <c r="H17" i="4"/>
  <c r="D17" i="4"/>
  <c r="G17" i="4" s="1"/>
  <c r="E15" i="4"/>
  <c r="C15" i="4"/>
  <c r="B15" i="4"/>
  <c r="E14" i="4"/>
  <c r="H13" i="4"/>
  <c r="I13" i="4" s="1"/>
  <c r="H12" i="4"/>
  <c r="J12" i="4" s="1"/>
  <c r="F12" i="4"/>
  <c r="D12" i="4"/>
  <c r="G12" i="4" s="1"/>
  <c r="H11" i="4"/>
  <c r="G11" i="4"/>
  <c r="D11" i="4"/>
  <c r="F11" i="4" s="1"/>
  <c r="H10" i="4"/>
  <c r="D10" i="4"/>
  <c r="G10" i="4" s="1"/>
  <c r="H9" i="4"/>
  <c r="I9" i="4" s="1"/>
  <c r="G9" i="4"/>
  <c r="D9" i="4"/>
  <c r="F9" i="4" s="1"/>
  <c r="H8" i="4"/>
  <c r="G8" i="4"/>
  <c r="F8" i="4"/>
  <c r="D8" i="4"/>
  <c r="H7" i="4"/>
  <c r="D7" i="4"/>
  <c r="F7" i="4" s="1"/>
  <c r="H6" i="4"/>
  <c r="D6" i="4"/>
  <c r="F6" i="4" s="1"/>
  <c r="J11" i="4" l="1"/>
  <c r="G71" i="4"/>
  <c r="I11" i="4"/>
  <c r="J25" i="4"/>
  <c r="G88" i="4"/>
  <c r="F30" i="4"/>
  <c r="G41" i="4"/>
  <c r="J28" i="4"/>
  <c r="G81" i="4"/>
  <c r="F33" i="4"/>
  <c r="F17" i="4"/>
  <c r="F37" i="4"/>
  <c r="J41" i="4"/>
  <c r="G85" i="4"/>
  <c r="J37" i="4"/>
  <c r="G86" i="4"/>
  <c r="G6" i="4"/>
  <c r="J17" i="4"/>
  <c r="G87" i="4"/>
  <c r="F22" i="4"/>
  <c r="J26" i="4"/>
  <c r="G82" i="4"/>
  <c r="I6" i="4"/>
  <c r="G66" i="4"/>
  <c r="F31" i="4"/>
  <c r="F38" i="4"/>
  <c r="I8" i="4"/>
  <c r="G75" i="4"/>
  <c r="D14" i="4"/>
  <c r="G14" i="4" s="1"/>
  <c r="F21" i="4"/>
  <c r="J18" i="4"/>
  <c r="G83" i="4"/>
  <c r="F35" i="4"/>
  <c r="J20" i="4"/>
  <c r="G79" i="4"/>
  <c r="G89" i="4" s="1"/>
  <c r="J13" i="4"/>
  <c r="F24" i="4"/>
  <c r="F32" i="4"/>
  <c r="J22" i="4"/>
  <c r="G80" i="4"/>
  <c r="G7" i="4"/>
  <c r="F10" i="4"/>
  <c r="H14" i="4"/>
  <c r="J14" i="4" s="1"/>
  <c r="G70" i="4"/>
  <c r="G67" i="4"/>
  <c r="I7" i="4"/>
  <c r="J10" i="4"/>
  <c r="G72" i="4"/>
  <c r="F20" i="4"/>
  <c r="F40" i="4"/>
  <c r="J9" i="4"/>
  <c r="G74" i="4"/>
  <c r="D15" i="4"/>
  <c r="J40" i="4"/>
  <c r="G84" i="4"/>
  <c r="G15" i="4"/>
  <c r="F15" i="4"/>
  <c r="I14" i="4"/>
  <c r="H15" i="4"/>
  <c r="J15" i="4" s="1"/>
  <c r="I12" i="4"/>
  <c r="I10" i="4"/>
  <c r="J6" i="4"/>
  <c r="J8" i="4"/>
  <c r="I17" i="4"/>
  <c r="I20" i="4"/>
  <c r="I22" i="4"/>
  <c r="I25" i="4"/>
  <c r="I27" i="4"/>
  <c r="I30" i="4"/>
  <c r="I32" i="4"/>
  <c r="I34" i="4"/>
  <c r="I36" i="4"/>
  <c r="I38" i="4"/>
  <c r="I41" i="4"/>
  <c r="F42" i="4"/>
  <c r="J7" i="4"/>
  <c r="I18" i="4"/>
  <c r="I21" i="4"/>
  <c r="I24" i="4"/>
  <c r="I26" i="4"/>
  <c r="I28" i="4"/>
  <c r="I31" i="4"/>
  <c r="I33" i="4"/>
  <c r="I35" i="4"/>
  <c r="I37" i="4"/>
  <c r="I40" i="4"/>
  <c r="I42" i="4"/>
  <c r="G76" i="4" l="1"/>
  <c r="G91" i="4" s="1"/>
  <c r="G94" i="4" s="1"/>
  <c r="F14" i="4"/>
  <c r="I15" i="4"/>
  <c r="G96" i="4" l="1"/>
  <c r="G95" i="4"/>
  <c r="J42" i="3"/>
  <c r="I42" i="3"/>
  <c r="D42" i="3"/>
  <c r="F42" i="3" s="1"/>
  <c r="J41" i="3"/>
  <c r="I41" i="3"/>
  <c r="D41" i="3"/>
  <c r="G41" i="3" s="1"/>
  <c r="J40" i="3"/>
  <c r="I40" i="3"/>
  <c r="D40" i="3"/>
  <c r="G40" i="3" s="1"/>
  <c r="J38" i="3"/>
  <c r="I38" i="3"/>
  <c r="D38" i="3"/>
  <c r="F38" i="3" s="1"/>
  <c r="J37" i="3"/>
  <c r="I37" i="3"/>
  <c r="D37" i="3"/>
  <c r="G37" i="3" s="1"/>
  <c r="J36" i="3"/>
  <c r="I36" i="3"/>
  <c r="D36" i="3"/>
  <c r="G36" i="3" s="1"/>
  <c r="J35" i="3"/>
  <c r="I35" i="3"/>
  <c r="D35" i="3"/>
  <c r="G35" i="3" s="1"/>
  <c r="J34" i="3"/>
  <c r="I34" i="3"/>
  <c r="D34" i="3"/>
  <c r="G34" i="3" s="1"/>
  <c r="J33" i="3"/>
  <c r="I33" i="3"/>
  <c r="D33" i="3"/>
  <c r="G33" i="3" s="1"/>
  <c r="J32" i="3"/>
  <c r="I32" i="3"/>
  <c r="G32" i="3"/>
  <c r="D32" i="3"/>
  <c r="F32" i="3" s="1"/>
  <c r="J31" i="3"/>
  <c r="I31" i="3"/>
  <c r="D31" i="3"/>
  <c r="G31" i="3" s="1"/>
  <c r="J30" i="3"/>
  <c r="I30" i="3"/>
  <c r="D30" i="3"/>
  <c r="G30" i="3" s="1"/>
  <c r="J28" i="3"/>
  <c r="I28" i="3"/>
  <c r="D28" i="3"/>
  <c r="G28" i="3" s="1"/>
  <c r="J27" i="3"/>
  <c r="I27" i="3"/>
  <c r="F27" i="3"/>
  <c r="D27" i="3"/>
  <c r="G27" i="3" s="1"/>
  <c r="J26" i="3"/>
  <c r="I26" i="3"/>
  <c r="D26" i="3"/>
  <c r="G26" i="3" s="1"/>
  <c r="J25" i="3"/>
  <c r="I25" i="3"/>
  <c r="D25" i="3"/>
  <c r="F25" i="3" s="1"/>
  <c r="J24" i="3"/>
  <c r="I24" i="3"/>
  <c r="F24" i="3"/>
  <c r="D24" i="3"/>
  <c r="G24" i="3" s="1"/>
  <c r="J22" i="3"/>
  <c r="I22" i="3"/>
  <c r="D22" i="3"/>
  <c r="G22" i="3" s="1"/>
  <c r="J21" i="3"/>
  <c r="I21" i="3"/>
  <c r="D21" i="3"/>
  <c r="G21" i="3" s="1"/>
  <c r="J20" i="3"/>
  <c r="I20" i="3"/>
  <c r="D20" i="3"/>
  <c r="G20" i="3" s="1"/>
  <c r="J18" i="3"/>
  <c r="I18" i="3"/>
  <c r="D18" i="3"/>
  <c r="G18" i="3" s="1"/>
  <c r="J17" i="3"/>
  <c r="I17" i="3"/>
  <c r="D17" i="3"/>
  <c r="F17" i="3" s="1"/>
  <c r="H15" i="3"/>
  <c r="J15" i="3" s="1"/>
  <c r="E15" i="3"/>
  <c r="C15" i="3"/>
  <c r="B15" i="3"/>
  <c r="D15" i="3" s="1"/>
  <c r="G15" i="3" s="1"/>
  <c r="H14" i="3"/>
  <c r="J14" i="3" s="1"/>
  <c r="E14" i="3"/>
  <c r="I14" i="3" s="1"/>
  <c r="J13" i="3"/>
  <c r="I13" i="3"/>
  <c r="J12" i="3"/>
  <c r="I12" i="3"/>
  <c r="G12" i="3"/>
  <c r="F12" i="3"/>
  <c r="D12" i="3"/>
  <c r="J11" i="3"/>
  <c r="I11" i="3"/>
  <c r="D11" i="3"/>
  <c r="G11" i="3" s="1"/>
  <c r="J10" i="3"/>
  <c r="I10" i="3"/>
  <c r="D10" i="3"/>
  <c r="G10" i="3" s="1"/>
  <c r="J9" i="3"/>
  <c r="I9" i="3"/>
  <c r="G9" i="3"/>
  <c r="F9" i="3"/>
  <c r="D9" i="3"/>
  <c r="J8" i="3"/>
  <c r="I8" i="3"/>
  <c r="D8" i="3"/>
  <c r="G8" i="3" s="1"/>
  <c r="J7" i="3"/>
  <c r="I7" i="3"/>
  <c r="D7" i="3"/>
  <c r="F7" i="3" s="1"/>
  <c r="J6" i="3"/>
  <c r="I6" i="3"/>
  <c r="G6" i="3"/>
  <c r="F6" i="3"/>
  <c r="D6" i="3"/>
  <c r="G17" i="3" l="1"/>
  <c r="G25" i="3"/>
  <c r="F36" i="3"/>
  <c r="F22" i="3"/>
  <c r="G7" i="3"/>
  <c r="F37" i="3"/>
  <c r="F31" i="3"/>
  <c r="F34" i="3"/>
  <c r="F11" i="3"/>
  <c r="G42" i="3"/>
  <c r="F20" i="3"/>
  <c r="G38" i="3"/>
  <c r="I15" i="3"/>
  <c r="D14" i="3"/>
  <c r="F30" i="3"/>
  <c r="F21" i="3"/>
  <c r="F35" i="3"/>
  <c r="F41" i="3"/>
  <c r="F10" i="3"/>
  <c r="F18" i="3"/>
  <c r="F33" i="3"/>
  <c r="F8" i="3"/>
  <c r="F15" i="3"/>
  <c r="F14" i="3"/>
  <c r="F28" i="3"/>
  <c r="F26" i="3"/>
  <c r="F40" i="3"/>
  <c r="G14" i="3" l="1"/>
  <c r="J42" i="2"/>
  <c r="I42" i="2"/>
  <c r="D42" i="2"/>
  <c r="G42" i="2" s="1"/>
  <c r="J41" i="2"/>
  <c r="I41" i="2"/>
  <c r="D41" i="2"/>
  <c r="G41" i="2" s="1"/>
  <c r="J40" i="2"/>
  <c r="I40" i="2"/>
  <c r="D40" i="2"/>
  <c r="G40" i="2" s="1"/>
  <c r="J38" i="2"/>
  <c r="I38" i="2"/>
  <c r="D38" i="2"/>
  <c r="G38" i="2" s="1"/>
  <c r="J37" i="2"/>
  <c r="I37" i="2"/>
  <c r="F37" i="2"/>
  <c r="D37" i="2"/>
  <c r="G37" i="2" s="1"/>
  <c r="J36" i="2"/>
  <c r="I36" i="2"/>
  <c r="G36" i="2"/>
  <c r="F36" i="2"/>
  <c r="D36" i="2"/>
  <c r="J35" i="2"/>
  <c r="I35" i="2"/>
  <c r="D35" i="2"/>
  <c r="G35" i="2" s="1"/>
  <c r="J34" i="2"/>
  <c r="I34" i="2"/>
  <c r="G34" i="2"/>
  <c r="D34" i="2"/>
  <c r="F34" i="2" s="1"/>
  <c r="J33" i="2"/>
  <c r="I33" i="2"/>
  <c r="D33" i="2"/>
  <c r="G33" i="2" s="1"/>
  <c r="J32" i="2"/>
  <c r="I32" i="2"/>
  <c r="D32" i="2"/>
  <c r="G32" i="2" s="1"/>
  <c r="J31" i="2"/>
  <c r="I31" i="2"/>
  <c r="F31" i="2"/>
  <c r="D31" i="2"/>
  <c r="G31" i="2" s="1"/>
  <c r="J30" i="2"/>
  <c r="I30" i="2"/>
  <c r="D30" i="2"/>
  <c r="F30" i="2" s="1"/>
  <c r="J28" i="2"/>
  <c r="I28" i="2"/>
  <c r="D28" i="2"/>
  <c r="F28" i="2" s="1"/>
  <c r="J27" i="2"/>
  <c r="I27" i="2"/>
  <c r="D27" i="2"/>
  <c r="G27" i="2" s="1"/>
  <c r="J26" i="2"/>
  <c r="I26" i="2"/>
  <c r="D26" i="2"/>
  <c r="G26" i="2" s="1"/>
  <c r="J25" i="2"/>
  <c r="I25" i="2"/>
  <c r="D25" i="2"/>
  <c r="G25" i="2" s="1"/>
  <c r="J24" i="2"/>
  <c r="I24" i="2"/>
  <c r="F24" i="2"/>
  <c r="D24" i="2"/>
  <c r="G24" i="2" s="1"/>
  <c r="J22" i="2"/>
  <c r="I22" i="2"/>
  <c r="D22" i="2"/>
  <c r="G22" i="2" s="1"/>
  <c r="J21" i="2"/>
  <c r="I21" i="2"/>
  <c r="D21" i="2"/>
  <c r="G21" i="2" s="1"/>
  <c r="J20" i="2"/>
  <c r="I20" i="2"/>
  <c r="D20" i="2"/>
  <c r="G20" i="2" s="1"/>
  <c r="J18" i="2"/>
  <c r="I18" i="2"/>
  <c r="D18" i="2"/>
  <c r="G18" i="2" s="1"/>
  <c r="J17" i="2"/>
  <c r="I17" i="2"/>
  <c r="D17" i="2"/>
  <c r="F17" i="2" s="1"/>
  <c r="E15" i="2"/>
  <c r="J15" i="2" s="1"/>
  <c r="C15" i="2"/>
  <c r="B15" i="2"/>
  <c r="D15" i="2" s="1"/>
  <c r="E14" i="2"/>
  <c r="J14" i="2" s="1"/>
  <c r="J13" i="2"/>
  <c r="I13" i="2"/>
  <c r="J12" i="2"/>
  <c r="I12" i="2"/>
  <c r="G12" i="2"/>
  <c r="D12" i="2"/>
  <c r="F12" i="2" s="1"/>
  <c r="J11" i="2"/>
  <c r="I11" i="2"/>
  <c r="D11" i="2"/>
  <c r="G11" i="2" s="1"/>
  <c r="J10" i="2"/>
  <c r="I10" i="2"/>
  <c r="D10" i="2"/>
  <c r="F10" i="2" s="1"/>
  <c r="J9" i="2"/>
  <c r="I9" i="2"/>
  <c r="F9" i="2"/>
  <c r="D9" i="2"/>
  <c r="G9" i="2" s="1"/>
  <c r="J8" i="2"/>
  <c r="I8" i="2"/>
  <c r="F8" i="2"/>
  <c r="D8" i="2"/>
  <c r="G8" i="2" s="1"/>
  <c r="J7" i="2"/>
  <c r="I7" i="2"/>
  <c r="D7" i="2"/>
  <c r="D14" i="2" s="1"/>
  <c r="J6" i="2"/>
  <c r="I6" i="2"/>
  <c r="D6" i="2"/>
  <c r="G6" i="2" s="1"/>
  <c r="E88" i="4"/>
  <c r="B88" i="4"/>
  <c r="E87" i="4"/>
  <c r="B87" i="4"/>
  <c r="E86" i="4"/>
  <c r="B86" i="4"/>
  <c r="E85" i="4"/>
  <c r="B85" i="4"/>
  <c r="E84" i="4"/>
  <c r="B84" i="4"/>
  <c r="E83" i="4"/>
  <c r="B83" i="4"/>
  <c r="E82" i="4"/>
  <c r="B82" i="4"/>
  <c r="E81" i="4"/>
  <c r="B81" i="4"/>
  <c r="E80" i="4"/>
  <c r="B80" i="4"/>
  <c r="E79" i="4"/>
  <c r="B79" i="4"/>
  <c r="E75" i="4"/>
  <c r="B75" i="4"/>
  <c r="E74" i="4"/>
  <c r="B74" i="4"/>
  <c r="E72" i="4"/>
  <c r="B72" i="4"/>
  <c r="E71" i="4"/>
  <c r="B71" i="4"/>
  <c r="E70" i="4"/>
  <c r="B70" i="4"/>
  <c r="E67" i="4"/>
  <c r="B67" i="4"/>
  <c r="E66" i="4"/>
  <c r="B66" i="4"/>
  <c r="H43" i="7"/>
  <c r="H42" i="7"/>
  <c r="H41" i="7"/>
  <c r="H40" i="7"/>
  <c r="H38" i="7"/>
  <c r="H37" i="7"/>
  <c r="H36" i="7"/>
  <c r="H35" i="7"/>
  <c r="H34" i="7"/>
  <c r="H33" i="7"/>
  <c r="H32" i="7"/>
  <c r="H31" i="7"/>
  <c r="H30" i="7"/>
  <c r="H28" i="7"/>
  <c r="H27" i="7"/>
  <c r="H26" i="7"/>
  <c r="H25" i="7"/>
  <c r="H24" i="7"/>
  <c r="H22" i="7"/>
  <c r="H21" i="7"/>
  <c r="H20" i="7"/>
  <c r="H18" i="7"/>
  <c r="H17" i="7"/>
  <c r="H12" i="7"/>
  <c r="H11" i="7"/>
  <c r="H10" i="7"/>
  <c r="H9" i="7"/>
  <c r="H8" i="7"/>
  <c r="H7" i="7"/>
  <c r="H6" i="7"/>
  <c r="I46" i="5"/>
  <c r="C88" i="5"/>
  <c r="C87" i="5"/>
  <c r="C86" i="5"/>
  <c r="C85" i="5"/>
  <c r="C84" i="5"/>
  <c r="C83" i="5"/>
  <c r="C82" i="5"/>
  <c r="C81" i="5"/>
  <c r="C80" i="5"/>
  <c r="C79" i="5"/>
  <c r="F85" i="5"/>
  <c r="F88" i="5"/>
  <c r="F87" i="5"/>
  <c r="F84" i="5"/>
  <c r="F83" i="5"/>
  <c r="F82" i="5"/>
  <c r="F81" i="5"/>
  <c r="F80" i="5"/>
  <c r="F79" i="5"/>
  <c r="I44" i="5"/>
  <c r="I45" i="5" s="1"/>
  <c r="D44" i="5"/>
  <c r="C44" i="5"/>
  <c r="E44" i="5" s="1"/>
  <c r="E45" i="5" s="1"/>
  <c r="E46" i="5" s="1"/>
  <c r="B76" i="4" l="1"/>
  <c r="G17" i="2"/>
  <c r="F21" i="2"/>
  <c r="G28" i="2"/>
  <c r="F41" i="2"/>
  <c r="F32" i="2"/>
  <c r="G7" i="2"/>
  <c r="F38" i="2"/>
  <c r="F26" i="2"/>
  <c r="F11" i="2"/>
  <c r="I14" i="2"/>
  <c r="G30" i="2"/>
  <c r="F42" i="2"/>
  <c r="F6" i="2"/>
  <c r="F20" i="2"/>
  <c r="F40" i="2"/>
  <c r="I15" i="2"/>
  <c r="E89" i="4"/>
  <c r="E76" i="4"/>
  <c r="B89" i="4"/>
  <c r="H14" i="7"/>
  <c r="H15" i="7" s="1"/>
  <c r="G14" i="2"/>
  <c r="F14" i="2"/>
  <c r="F15" i="2"/>
  <c r="G15" i="2"/>
  <c r="F18" i="2"/>
  <c r="F27" i="2"/>
  <c r="F7" i="2"/>
  <c r="F35" i="2"/>
  <c r="F33" i="2"/>
  <c r="G10" i="2"/>
  <c r="F25" i="2"/>
  <c r="F22" i="2"/>
  <c r="E94" i="4"/>
  <c r="F44" i="5"/>
  <c r="K44" i="5" s="1"/>
  <c r="B91" i="4" l="1"/>
  <c r="E91" i="4"/>
  <c r="B94" i="4"/>
  <c r="E96" i="4"/>
  <c r="E95" i="4"/>
  <c r="G44" i="5"/>
  <c r="F45" i="5"/>
  <c r="F46" i="5" s="1"/>
  <c r="J44" i="5"/>
  <c r="H44" i="5"/>
  <c r="B96" i="4" l="1"/>
  <c r="B95" i="4"/>
  <c r="E88" i="3"/>
  <c r="E44" i="3"/>
  <c r="B84" i="3"/>
  <c r="E84" i="3"/>
  <c r="E79" i="3"/>
  <c r="B88" i="3"/>
  <c r="E87" i="3"/>
  <c r="B87" i="3"/>
  <c r="E86" i="3"/>
  <c r="B86" i="3"/>
  <c r="E85" i="3"/>
  <c r="B85" i="3"/>
  <c r="E83" i="3"/>
  <c r="B83" i="3"/>
  <c r="E82" i="3"/>
  <c r="B82" i="3"/>
  <c r="E81" i="3"/>
  <c r="B81" i="3"/>
  <c r="E80" i="3"/>
  <c r="B80" i="3"/>
  <c r="B79" i="3"/>
  <c r="E76" i="3"/>
  <c r="E75" i="3"/>
  <c r="B75" i="3"/>
  <c r="E74" i="3"/>
  <c r="B74" i="3"/>
  <c r="E72" i="3"/>
  <c r="B72" i="3"/>
  <c r="E71" i="3"/>
  <c r="B71" i="3"/>
  <c r="E70" i="3"/>
  <c r="B70" i="3"/>
  <c r="B76" i="3" s="1"/>
  <c r="E67" i="3"/>
  <c r="B67" i="3"/>
  <c r="E66" i="3"/>
  <c r="B66" i="3"/>
  <c r="H44" i="3"/>
  <c r="I44" i="3" s="1"/>
  <c r="C44" i="3"/>
  <c r="B44" i="3"/>
  <c r="D44" i="3" l="1"/>
  <c r="D45" i="3" s="1"/>
  <c r="D46" i="3" s="1"/>
  <c r="E89" i="3"/>
  <c r="B89" i="3"/>
  <c r="B91" i="3" s="1"/>
  <c r="B94" i="3"/>
  <c r="B96" i="3" s="1"/>
  <c r="E91" i="3"/>
  <c r="G44" i="3"/>
  <c r="J44" i="3"/>
  <c r="B95" i="3" l="1"/>
  <c r="E94" i="3"/>
  <c r="E96" i="3" s="1"/>
  <c r="F44" i="3"/>
  <c r="E95" i="3" l="1"/>
  <c r="H45" i="3" l="1"/>
  <c r="H46" i="3" s="1"/>
  <c r="E45" i="3"/>
  <c r="E46" i="3" s="1"/>
  <c r="B75" i="1"/>
  <c r="E88" i="1"/>
  <c r="B88" i="1"/>
  <c r="B88" i="2"/>
  <c r="E88" i="2"/>
  <c r="H44" i="2"/>
  <c r="H45" i="2" s="1"/>
  <c r="H46" i="2" s="1"/>
  <c r="F44" i="2"/>
  <c r="E44" i="2"/>
  <c r="E45" i="2" s="1"/>
  <c r="E46" i="2" s="1"/>
  <c r="C44" i="2"/>
  <c r="B44" i="2"/>
  <c r="H44" i="1"/>
  <c r="E44" i="1"/>
  <c r="C44" i="1"/>
  <c r="B44" i="1"/>
  <c r="B6" i="7"/>
  <c r="C6" i="7"/>
  <c r="E6" i="7"/>
  <c r="I6" i="7" s="1"/>
  <c r="B7" i="7"/>
  <c r="C7" i="7"/>
  <c r="E7" i="7"/>
  <c r="B8" i="7"/>
  <c r="C8" i="7"/>
  <c r="E8" i="7"/>
  <c r="I8" i="7" s="1"/>
  <c r="B9" i="7"/>
  <c r="C9" i="7"/>
  <c r="E9" i="7"/>
  <c r="I9" i="7" s="1"/>
  <c r="B10" i="7"/>
  <c r="C10" i="7"/>
  <c r="E10" i="7"/>
  <c r="B11" i="7"/>
  <c r="C11" i="7"/>
  <c r="E11" i="7"/>
  <c r="I11" i="7" s="1"/>
  <c r="B12" i="7"/>
  <c r="C12" i="7"/>
  <c r="E12" i="7"/>
  <c r="I12" i="7" s="1"/>
  <c r="I13" i="7"/>
  <c r="J13" i="7"/>
  <c r="B17" i="7"/>
  <c r="C17" i="7"/>
  <c r="E17" i="7"/>
  <c r="I17" i="7" s="1"/>
  <c r="B18" i="7"/>
  <c r="C18" i="7"/>
  <c r="E18" i="7"/>
  <c r="B20" i="7"/>
  <c r="C20" i="7"/>
  <c r="E20" i="7"/>
  <c r="I20" i="7" s="1"/>
  <c r="B21" i="7"/>
  <c r="C21" i="7"/>
  <c r="E21" i="7"/>
  <c r="I21" i="7" s="1"/>
  <c r="B22" i="7"/>
  <c r="C22" i="7"/>
  <c r="E22" i="7"/>
  <c r="B24" i="7"/>
  <c r="C24" i="7"/>
  <c r="E24" i="7"/>
  <c r="I24" i="7" s="1"/>
  <c r="B25" i="7"/>
  <c r="C25" i="7"/>
  <c r="E25" i="7"/>
  <c r="B26" i="7"/>
  <c r="C26" i="7"/>
  <c r="E26" i="7"/>
  <c r="B27" i="7"/>
  <c r="C27" i="7"/>
  <c r="E27" i="7"/>
  <c r="I27" i="7" s="1"/>
  <c r="B28" i="7"/>
  <c r="C28" i="7"/>
  <c r="E28" i="7"/>
  <c r="I28" i="7" s="1"/>
  <c r="B30" i="7"/>
  <c r="C30" i="7"/>
  <c r="E30" i="7"/>
  <c r="B31" i="7"/>
  <c r="C31" i="7"/>
  <c r="E31" i="7"/>
  <c r="I31" i="7" s="1"/>
  <c r="B32" i="7"/>
  <c r="C32" i="7"/>
  <c r="E32" i="7"/>
  <c r="I32" i="7" s="1"/>
  <c r="B33" i="7"/>
  <c r="C33" i="7"/>
  <c r="E33" i="7"/>
  <c r="B34" i="7"/>
  <c r="C34" i="7"/>
  <c r="E34" i="7"/>
  <c r="I34" i="7" s="1"/>
  <c r="B35" i="7"/>
  <c r="C35" i="7"/>
  <c r="E35" i="7"/>
  <c r="I35" i="7" s="1"/>
  <c r="B36" i="7"/>
  <c r="C36" i="7"/>
  <c r="E36" i="7"/>
  <c r="B37" i="7"/>
  <c r="C37" i="7"/>
  <c r="E37" i="7"/>
  <c r="J37" i="7" s="1"/>
  <c r="B38" i="7"/>
  <c r="C38" i="7"/>
  <c r="E38" i="7"/>
  <c r="I38" i="7" s="1"/>
  <c r="B40" i="7"/>
  <c r="C40" i="7"/>
  <c r="E40" i="7"/>
  <c r="B41" i="7"/>
  <c r="C41" i="7"/>
  <c r="E41" i="7"/>
  <c r="J41" i="7" s="1"/>
  <c r="B42" i="7"/>
  <c r="C42" i="7"/>
  <c r="E42" i="7"/>
  <c r="I42" i="7" s="1"/>
  <c r="E43" i="7"/>
  <c r="E45" i="1" l="1"/>
  <c r="E46" i="1"/>
  <c r="H45" i="1"/>
  <c r="H46" i="1"/>
  <c r="D44" i="1"/>
  <c r="D44" i="2"/>
  <c r="D30" i="7"/>
  <c r="G30" i="7" s="1"/>
  <c r="D25" i="7"/>
  <c r="F25" i="7" s="1"/>
  <c r="I25" i="7"/>
  <c r="B44" i="7"/>
  <c r="D32" i="7"/>
  <c r="G32" i="7" s="1"/>
  <c r="D22" i="7"/>
  <c r="G22" i="7" s="1"/>
  <c r="D17" i="7"/>
  <c r="D10" i="7"/>
  <c r="G10" i="7" s="1"/>
  <c r="D6" i="7"/>
  <c r="G6" i="7" s="1"/>
  <c r="D12" i="7"/>
  <c r="F12" i="7" s="1"/>
  <c r="D9" i="7"/>
  <c r="G9" i="7" s="1"/>
  <c r="J35" i="7"/>
  <c r="D7" i="7"/>
  <c r="D41" i="7"/>
  <c r="F41" i="7" s="1"/>
  <c r="J42" i="7"/>
  <c r="D26" i="7"/>
  <c r="G26" i="7" s="1"/>
  <c r="D21" i="7"/>
  <c r="G21" i="7" s="1"/>
  <c r="J12" i="7"/>
  <c r="D8" i="7"/>
  <c r="F8" i="7" s="1"/>
  <c r="I37" i="7"/>
  <c r="I44" i="2"/>
  <c r="I41" i="7"/>
  <c r="J44" i="2"/>
  <c r="D33" i="7"/>
  <c r="G33" i="7" s="1"/>
  <c r="D28" i="7"/>
  <c r="G28" i="7" s="1"/>
  <c r="J11" i="7"/>
  <c r="J8" i="7"/>
  <c r="D34" i="7"/>
  <c r="F34" i="7" s="1"/>
  <c r="D31" i="7"/>
  <c r="G31" i="7" s="1"/>
  <c r="D27" i="7"/>
  <c r="G27" i="7" s="1"/>
  <c r="D24" i="7"/>
  <c r="G24" i="7" s="1"/>
  <c r="D20" i="7"/>
  <c r="F20" i="7" s="1"/>
  <c r="B15" i="7"/>
  <c r="D37" i="7"/>
  <c r="G37" i="7" s="1"/>
  <c r="F22" i="7"/>
  <c r="J9" i="7"/>
  <c r="C15" i="7"/>
  <c r="D18" i="7"/>
  <c r="G18" i="7" s="1"/>
  <c r="J6" i="7"/>
  <c r="D40" i="7"/>
  <c r="G40" i="7" s="1"/>
  <c r="D36" i="7"/>
  <c r="G36" i="7" s="1"/>
  <c r="J32" i="7"/>
  <c r="J28" i="7"/>
  <c r="J25" i="7"/>
  <c r="J21" i="7"/>
  <c r="J17" i="7"/>
  <c r="I44" i="1"/>
  <c r="J38" i="7"/>
  <c r="J44" i="1"/>
  <c r="D38" i="7"/>
  <c r="G38" i="7" s="1"/>
  <c r="D35" i="7"/>
  <c r="G35" i="7" s="1"/>
  <c r="J31" i="7"/>
  <c r="J27" i="7"/>
  <c r="J24" i="7"/>
  <c r="J20" i="7"/>
  <c r="D11" i="7"/>
  <c r="G11" i="7" s="1"/>
  <c r="D42" i="7"/>
  <c r="G42" i="7" s="1"/>
  <c r="J34" i="7"/>
  <c r="F10" i="7"/>
  <c r="E15" i="7"/>
  <c r="J36" i="7"/>
  <c r="J26" i="7"/>
  <c r="J22" i="7"/>
  <c r="J18" i="7"/>
  <c r="J10" i="7"/>
  <c r="J7" i="7"/>
  <c r="J40" i="7"/>
  <c r="J33" i="7"/>
  <c r="J30" i="7"/>
  <c r="I40" i="7"/>
  <c r="I36" i="7"/>
  <c r="I33" i="7"/>
  <c r="I30" i="7"/>
  <c r="I26" i="7"/>
  <c r="I22" i="7"/>
  <c r="I18" i="7"/>
  <c r="I10" i="7"/>
  <c r="I7" i="7"/>
  <c r="E14" i="7"/>
  <c r="G44" i="2" l="1"/>
  <c r="D45" i="2"/>
  <c r="D46" i="2" s="1"/>
  <c r="G44" i="1"/>
  <c r="D46" i="1"/>
  <c r="D45" i="1"/>
  <c r="G25" i="7"/>
  <c r="G7" i="7"/>
  <c r="D14" i="7"/>
  <c r="G14" i="7" s="1"/>
  <c r="F9" i="7"/>
  <c r="G12" i="7"/>
  <c r="F28" i="7"/>
  <c r="F32" i="7"/>
  <c r="F31" i="7"/>
  <c r="F30" i="7"/>
  <c r="C44" i="7"/>
  <c r="D44" i="7" s="1"/>
  <c r="D45" i="7" s="1"/>
  <c r="D46" i="7" s="1"/>
  <c r="F7" i="7"/>
  <c r="G41" i="7"/>
  <c r="F6" i="7"/>
  <c r="G17" i="7"/>
  <c r="F17" i="7"/>
  <c r="F37" i="7"/>
  <c r="F35" i="7"/>
  <c r="F38" i="7"/>
  <c r="F33" i="7"/>
  <c r="G8" i="7"/>
  <c r="G34" i="7"/>
  <c r="F21" i="7"/>
  <c r="F27" i="7"/>
  <c r="F26" i="7"/>
  <c r="G20" i="7"/>
  <c r="F40" i="7"/>
  <c r="F11" i="7"/>
  <c r="F24" i="7"/>
  <c r="D15" i="7"/>
  <c r="F15" i="7" s="1"/>
  <c r="F42" i="7"/>
  <c r="F18" i="7"/>
  <c r="F44" i="1"/>
  <c r="F36" i="7"/>
  <c r="J15" i="7"/>
  <c r="I15" i="7"/>
  <c r="F14" i="7"/>
  <c r="I14" i="7"/>
  <c r="J14" i="7"/>
  <c r="H45" i="7" l="1"/>
  <c r="E44" i="7"/>
  <c r="F44" i="7"/>
  <c r="G15" i="7"/>
  <c r="E45" i="7" l="1"/>
  <c r="E46" i="7" s="1"/>
  <c r="I44" i="7"/>
  <c r="J44" i="7"/>
  <c r="G44" i="7"/>
  <c r="B61" i="7"/>
  <c r="B62" i="7" s="1"/>
  <c r="B59" i="7"/>
  <c r="G99" i="7" l="1"/>
  <c r="B99" i="7"/>
  <c r="H44" i="4"/>
  <c r="H45" i="4" s="1"/>
  <c r="H46" i="4" s="1"/>
  <c r="E44" i="4"/>
  <c r="C44" i="4"/>
  <c r="B44" i="4"/>
  <c r="E100" i="7" l="1"/>
  <c r="E99" i="7"/>
  <c r="E101" i="7" s="1"/>
  <c r="B101" i="7"/>
  <c r="G101" i="7"/>
  <c r="D44" i="4"/>
  <c r="E45" i="4"/>
  <c r="E46" i="4" s="1"/>
  <c r="B63" i="4"/>
  <c r="I44" i="4"/>
  <c r="J44" i="4"/>
  <c r="G44" i="4" l="1"/>
  <c r="D45" i="4"/>
  <c r="D46" i="4" s="1"/>
  <c r="F44" i="4"/>
  <c r="F86" i="5"/>
  <c r="F75" i="5"/>
  <c r="C75" i="5"/>
  <c r="F74" i="5"/>
  <c r="C74" i="5"/>
  <c r="F72" i="5"/>
  <c r="C72" i="5"/>
  <c r="F71" i="5"/>
  <c r="C71" i="5"/>
  <c r="F70" i="5"/>
  <c r="C70" i="5"/>
  <c r="F67" i="5"/>
  <c r="C67" i="5"/>
  <c r="F66" i="5"/>
  <c r="C66" i="5"/>
  <c r="E87" i="2"/>
  <c r="B87" i="2"/>
  <c r="E86" i="2"/>
  <c r="B86" i="2"/>
  <c r="E85" i="2"/>
  <c r="B85" i="2"/>
  <c r="E84" i="2"/>
  <c r="B84" i="2"/>
  <c r="E83" i="2"/>
  <c r="B83" i="2"/>
  <c r="E82" i="2"/>
  <c r="B82" i="2"/>
  <c r="E81" i="2"/>
  <c r="B81" i="2"/>
  <c r="E80" i="2"/>
  <c r="B80" i="2"/>
  <c r="E79" i="2"/>
  <c r="B79" i="2"/>
  <c r="B76" i="2"/>
  <c r="E75" i="2"/>
  <c r="B75" i="2"/>
  <c r="E74" i="2"/>
  <c r="B74" i="2"/>
  <c r="E72" i="2"/>
  <c r="B72" i="2"/>
  <c r="E71" i="2"/>
  <c r="B71" i="2"/>
  <c r="E70" i="2"/>
  <c r="B70" i="2"/>
  <c r="E67" i="2"/>
  <c r="B67" i="2"/>
  <c r="E66" i="2"/>
  <c r="B66" i="2"/>
  <c r="E67" i="1"/>
  <c r="E87" i="1"/>
  <c r="E86" i="1"/>
  <c r="E85" i="1"/>
  <c r="E84" i="1"/>
  <c r="E83" i="1"/>
  <c r="E82" i="1"/>
  <c r="E81" i="1"/>
  <c r="E80" i="1"/>
  <c r="E79" i="1"/>
  <c r="E75" i="1"/>
  <c r="E74" i="1"/>
  <c r="E72" i="1"/>
  <c r="E71" i="1"/>
  <c r="E70" i="1"/>
  <c r="E66" i="1"/>
  <c r="B67" i="1"/>
  <c r="B66" i="1"/>
  <c r="B87" i="1"/>
  <c r="B86" i="1"/>
  <c r="B85" i="1"/>
  <c r="B84" i="1"/>
  <c r="B83" i="1"/>
  <c r="B82" i="1"/>
  <c r="B81" i="1"/>
  <c r="B80" i="1"/>
  <c r="B79" i="1"/>
  <c r="B74" i="1"/>
  <c r="B72" i="1"/>
  <c r="B71" i="1"/>
  <c r="B70" i="1"/>
  <c r="E76" i="1" l="1"/>
  <c r="E76" i="2"/>
  <c r="E89" i="2"/>
  <c r="E91" i="2" s="1"/>
  <c r="E89" i="1"/>
  <c r="B89" i="1"/>
  <c r="B89" i="2"/>
  <c r="B91" i="2" s="1"/>
  <c r="C76" i="5"/>
  <c r="F76" i="5"/>
  <c r="E94" i="1"/>
  <c r="B76" i="1"/>
  <c r="E91" i="1" l="1"/>
  <c r="B94" i="1"/>
  <c r="B96" i="1" s="1"/>
  <c r="E94" i="2"/>
  <c r="E96" i="2" s="1"/>
  <c r="B94" i="2"/>
  <c r="B95" i="2" s="1"/>
  <c r="E95" i="2"/>
  <c r="E96" i="1"/>
  <c r="E95" i="1"/>
  <c r="B91" i="1"/>
  <c r="B95" i="1" l="1"/>
  <c r="B96" i="2"/>
  <c r="G12" i="8"/>
  <c r="F6" i="8"/>
  <c r="F7" i="8"/>
  <c r="F8" i="8"/>
  <c r="F9" i="8"/>
  <c r="F10" i="8"/>
  <c r="F11" i="8"/>
  <c r="F12" i="8"/>
  <c r="F17" i="8"/>
  <c r="F21" i="8"/>
  <c r="F23" i="8"/>
  <c r="F30" i="8"/>
  <c r="F31" i="8"/>
  <c r="F32" i="8"/>
  <c r="F33" i="8"/>
  <c r="F34" i="8"/>
  <c r="F36" i="8"/>
  <c r="F37" i="8"/>
  <c r="F39" i="8"/>
  <c r="F40" i="8"/>
  <c r="F41" i="8"/>
  <c r="F42" i="8"/>
  <c r="F5" i="8"/>
  <c r="E6" i="8"/>
  <c r="E7" i="8"/>
  <c r="E8" i="8"/>
  <c r="E9" i="8"/>
  <c r="E10" i="8"/>
  <c r="E11" i="8"/>
  <c r="E12" i="8"/>
  <c r="E13" i="8"/>
  <c r="E14" i="8"/>
  <c r="E16" i="8"/>
  <c r="E17" i="8"/>
  <c r="E19" i="8"/>
  <c r="E20" i="8"/>
  <c r="E21" i="8"/>
  <c r="E23" i="8"/>
  <c r="E24" i="8"/>
  <c r="E25" i="8"/>
  <c r="E26" i="8"/>
  <c r="E27" i="8"/>
  <c r="E29" i="8"/>
  <c r="E30" i="8"/>
  <c r="E31" i="8"/>
  <c r="E32" i="8"/>
  <c r="E33" i="8"/>
  <c r="E34" i="8"/>
  <c r="E36" i="8"/>
  <c r="E37" i="8"/>
  <c r="E39" i="8"/>
  <c r="E40" i="8"/>
  <c r="E41" i="8"/>
  <c r="E42" i="8"/>
  <c r="E5" i="8"/>
  <c r="D6" i="8"/>
  <c r="D7" i="8"/>
  <c r="D8" i="8"/>
  <c r="D9" i="8"/>
  <c r="D10" i="8"/>
  <c r="D11" i="8"/>
  <c r="D12" i="8"/>
  <c r="D13" i="8"/>
  <c r="D14" i="8"/>
  <c r="D16" i="8"/>
  <c r="D17" i="8"/>
  <c r="D19" i="8"/>
  <c r="D20" i="8"/>
  <c r="D21" i="8"/>
  <c r="D23" i="8"/>
  <c r="D24" i="8"/>
  <c r="D25" i="8"/>
  <c r="D26" i="8"/>
  <c r="D27" i="8"/>
  <c r="D29" i="8"/>
  <c r="D30" i="8"/>
  <c r="D31" i="8"/>
  <c r="D32" i="8"/>
  <c r="D33" i="8"/>
  <c r="D34" i="8"/>
  <c r="D36" i="8"/>
  <c r="D37" i="8"/>
  <c r="D39" i="8"/>
  <c r="D40" i="8"/>
  <c r="D41" i="8"/>
  <c r="D42" i="8"/>
  <c r="D43" i="8"/>
  <c r="D44" i="8"/>
  <c r="D45" i="8"/>
  <c r="D5" i="8"/>
  <c r="C6" i="8"/>
  <c r="C7" i="8"/>
  <c r="C8" i="8"/>
  <c r="C9" i="8"/>
  <c r="C10" i="8"/>
  <c r="C11" i="8"/>
  <c r="C12" i="8"/>
  <c r="C13" i="8"/>
  <c r="C14" i="8"/>
  <c r="C16" i="8"/>
  <c r="C17" i="8"/>
  <c r="C19" i="8"/>
  <c r="C20" i="8"/>
  <c r="C21" i="8"/>
  <c r="C23" i="8"/>
  <c r="C24" i="8"/>
  <c r="C25" i="8"/>
  <c r="C26" i="8"/>
  <c r="C27" i="8"/>
  <c r="C29" i="8"/>
  <c r="C30" i="8"/>
  <c r="C31" i="8"/>
  <c r="C32" i="8"/>
  <c r="C33" i="8"/>
  <c r="C34" i="8"/>
  <c r="C36" i="8"/>
  <c r="C37" i="8"/>
  <c r="C39" i="8"/>
  <c r="C40" i="8"/>
  <c r="C41" i="8"/>
  <c r="C42" i="8"/>
  <c r="C43" i="8"/>
  <c r="C44" i="8"/>
  <c r="C45" i="8"/>
  <c r="C5" i="8"/>
  <c r="B6" i="8"/>
  <c r="B7" i="8"/>
  <c r="B8" i="8"/>
  <c r="B9" i="8"/>
  <c r="B10" i="8"/>
  <c r="B11" i="8"/>
  <c r="B12" i="8"/>
  <c r="B16" i="8"/>
  <c r="B17" i="8"/>
  <c r="B19" i="8"/>
  <c r="B20" i="8"/>
  <c r="B21" i="8"/>
  <c r="B23" i="8"/>
  <c r="B24" i="8"/>
  <c r="B25" i="8"/>
  <c r="B26" i="8"/>
  <c r="B27" i="8"/>
  <c r="B29" i="8"/>
  <c r="B30" i="8"/>
  <c r="B31" i="8"/>
  <c r="B32" i="8"/>
  <c r="B33" i="8"/>
  <c r="B34" i="8"/>
  <c r="B36" i="8"/>
  <c r="B37" i="8"/>
  <c r="B39" i="8"/>
  <c r="B40" i="8"/>
  <c r="B41" i="8"/>
  <c r="B42" i="8"/>
  <c r="B5" i="8"/>
  <c r="G23" i="8"/>
  <c r="G30" i="8"/>
  <c r="G31" i="8"/>
  <c r="G32" i="8"/>
  <c r="G33" i="8"/>
  <c r="G34" i="8"/>
  <c r="G37" i="8"/>
  <c r="G41" i="8"/>
  <c r="G42" i="8"/>
  <c r="G11" i="8"/>
  <c r="B51" i="4"/>
  <c r="B99" i="4" l="1"/>
  <c r="B101" i="4" s="1"/>
  <c r="G99" i="4"/>
  <c r="J4" i="8"/>
  <c r="E100" i="4"/>
  <c r="E99" i="4"/>
  <c r="E101" i="4" s="1"/>
  <c r="N4" i="8"/>
  <c r="K4" i="8"/>
  <c r="G36" i="8"/>
  <c r="G39" i="8"/>
  <c r="G6" i="8"/>
  <c r="G7" i="8"/>
  <c r="G5" i="8"/>
  <c r="G10" i="8"/>
  <c r="G9" i="8"/>
  <c r="G21" i="8"/>
  <c r="G8" i="8"/>
  <c r="G40" i="8"/>
  <c r="G17" i="8"/>
  <c r="B64" i="4"/>
  <c r="M4" i="8"/>
  <c r="L4" i="8"/>
  <c r="E43" i="8"/>
  <c r="E45" i="8"/>
  <c r="B49" i="4"/>
  <c r="B50" i="4"/>
  <c r="B52" i="4"/>
  <c r="B53" i="4" s="1"/>
  <c r="E44" i="8"/>
  <c r="G101" i="4" l="1"/>
  <c r="B55" i="4"/>
  <c r="B54" i="4"/>
  <c r="B51" i="2" l="1"/>
  <c r="B64" i="2" l="1"/>
  <c r="G99" i="2"/>
  <c r="B99" i="2"/>
  <c r="B101" i="2" s="1"/>
  <c r="B63" i="2"/>
  <c r="B49" i="2"/>
  <c r="B52" i="2"/>
  <c r="B53" i="2" s="1"/>
  <c r="B51" i="7"/>
  <c r="H99" i="5"/>
  <c r="C51" i="5"/>
  <c r="G87" i="5"/>
  <c r="F13" i="8"/>
  <c r="G101" i="2" l="1"/>
  <c r="H101" i="5"/>
  <c r="E100" i="2"/>
  <c r="E99" i="2"/>
  <c r="E101" i="2" s="1"/>
  <c r="C99" i="5"/>
  <c r="C101" i="5" s="1"/>
  <c r="C63" i="5"/>
  <c r="B50" i="2"/>
  <c r="C89" i="5"/>
  <c r="F89" i="5"/>
  <c r="F20" i="8"/>
  <c r="F27" i="8"/>
  <c r="F25" i="8"/>
  <c r="F29" i="8"/>
  <c r="F24" i="8"/>
  <c r="F26" i="8"/>
  <c r="F14" i="8"/>
  <c r="F19" i="8"/>
  <c r="F16" i="8"/>
  <c r="G13" i="8"/>
  <c r="G14" i="8"/>
  <c r="B55" i="2"/>
  <c r="B54" i="2"/>
  <c r="B52" i="7"/>
  <c r="B53" i="7" s="1"/>
  <c r="C64" i="5"/>
  <c r="C49" i="5"/>
  <c r="F43" i="8"/>
  <c r="C52" i="5"/>
  <c r="C53" i="5" s="1"/>
  <c r="F99" i="5" l="1"/>
  <c r="F101" i="5" s="1"/>
  <c r="F100" i="5"/>
  <c r="G19" i="8"/>
  <c r="B63" i="7"/>
  <c r="F91" i="5"/>
  <c r="F94" i="5"/>
  <c r="C91" i="5"/>
  <c r="C94" i="5"/>
  <c r="G26" i="8"/>
  <c r="G27" i="8"/>
  <c r="G24" i="8"/>
  <c r="G16" i="8"/>
  <c r="G20" i="8"/>
  <c r="G29" i="8"/>
  <c r="G25" i="8"/>
  <c r="B54" i="7"/>
  <c r="F44" i="8"/>
  <c r="F45" i="8"/>
  <c r="C55" i="5"/>
  <c r="C54" i="5"/>
  <c r="C50" i="5"/>
  <c r="G43" i="8" l="1"/>
  <c r="G45" i="8"/>
  <c r="G44" i="8"/>
  <c r="C96" i="5"/>
  <c r="C95" i="5"/>
  <c r="F96" i="5"/>
  <c r="F95" i="5"/>
  <c r="G99" i="3"/>
  <c r="B51" i="3"/>
  <c r="B52" i="3"/>
  <c r="B99" i="3" l="1"/>
  <c r="B63" i="3"/>
  <c r="B64" i="3"/>
  <c r="B50" i="3"/>
  <c r="B49" i="3"/>
  <c r="B53" i="3"/>
  <c r="E100" i="3" l="1"/>
  <c r="E99" i="3"/>
  <c r="B55" i="3"/>
  <c r="B54" i="3"/>
  <c r="B55" i="7" l="1"/>
  <c r="B49" i="7" l="1"/>
  <c r="B13" i="8" l="1"/>
  <c r="G99" i="1" l="1"/>
  <c r="B51" i="1"/>
  <c r="B43" i="8"/>
  <c r="B14" i="8"/>
  <c r="G101" i="1" l="1"/>
  <c r="B99" i="1"/>
  <c r="B101" i="1" s="1"/>
  <c r="B63" i="1"/>
  <c r="B52" i="1"/>
  <c r="B53" i="1" s="1"/>
  <c r="B54" i="1" s="1"/>
  <c r="B64" i="1"/>
  <c r="B44" i="8"/>
  <c r="B45" i="8"/>
  <c r="E99" i="1" l="1"/>
  <c r="E101" i="1" s="1"/>
  <c r="E100" i="1"/>
  <c r="B55" i="1"/>
  <c r="B50" i="1"/>
  <c r="B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Dana Phillips</author>
  </authors>
  <commentList>
    <comment ref="E20" authorId="0" shapeId="0" xr:uid="{E9A4406C-853C-4B47-9070-5D912C09FF85}">
      <text>
        <r>
          <rPr>
            <b/>
            <sz val="9"/>
            <color indexed="81"/>
            <rFont val="Tahoma"/>
            <family val="2"/>
          </rPr>
          <t>Dana Phillips:</t>
        </r>
        <r>
          <rPr>
            <sz val="9"/>
            <color indexed="81"/>
            <rFont val="Tahoma"/>
            <family val="2"/>
          </rPr>
          <t xml:space="preserve">
£38,393.56 MU
£38,793.13 CA
£20,082.44 LW
£13,800 SR</t>
        </r>
      </text>
    </comment>
    <comment ref="E21" authorId="0" shapeId="0" xr:uid="{A8C601D9-7D51-4576-BEF3-6DFD3CFAA461}">
      <text>
        <r>
          <rPr>
            <b/>
            <sz val="9"/>
            <color indexed="81"/>
            <rFont val="Tahoma"/>
            <family val="2"/>
          </rPr>
          <t>Dana Phillips:</t>
        </r>
        <r>
          <rPr>
            <sz val="9"/>
            <color indexed="81"/>
            <rFont val="Tahoma"/>
            <family val="2"/>
          </rPr>
          <t xml:space="preserve">
AH £16,193.42
RM £11,385.42
VP £7,180.76
</t>
        </r>
      </text>
    </comment>
    <comment ref="B24" authorId="0" shapeId="0" xr:uid="{D51AB7CC-BACC-4EF3-8983-B75DA2BA038A}">
      <text>
        <r>
          <rPr>
            <b/>
            <sz val="9"/>
            <color indexed="81"/>
            <rFont val="Tahoma"/>
            <charset val="1"/>
          </rPr>
          <t>Dana Phillips:</t>
        </r>
        <r>
          <rPr>
            <sz val="9"/>
            <color indexed="81"/>
            <rFont val="Tahoma"/>
            <charset val="1"/>
          </rPr>
          <t xml:space="preserve">
Rawlins used HR at LCC for redundundancy
£3,500</t>
        </r>
      </text>
    </comment>
    <comment ref="E24" authorId="0" shapeId="0" xr:uid="{EF2913FB-261E-4997-B5D1-28B9FE474F0C}">
      <text>
        <r>
          <rPr>
            <b/>
            <sz val="9"/>
            <color indexed="81"/>
            <rFont val="Tahoma"/>
            <family val="2"/>
          </rPr>
          <t>Dana Phillips:</t>
        </r>
        <r>
          <rPr>
            <sz val="9"/>
            <color indexed="81"/>
            <rFont val="Tahoma"/>
            <family val="2"/>
          </rPr>
          <t xml:space="preserve">
Dana £6,939.99 2 days for 23 weeks</t>
        </r>
      </text>
    </comment>
    <comment ref="E27" authorId="0" shapeId="0" xr:uid="{4129E550-4905-4E83-BC1A-4B780A886B2E}">
      <text>
        <r>
          <rPr>
            <b/>
            <sz val="9"/>
            <color indexed="81"/>
            <rFont val="Tahoma"/>
            <family val="2"/>
          </rPr>
          <t>Dana Phillips:</t>
        </r>
        <r>
          <rPr>
            <sz val="9"/>
            <color indexed="81"/>
            <rFont val="Tahoma"/>
            <family val="2"/>
          </rPr>
          <t xml:space="preserve">
Supply Teacher - 23 weeks @ £200 per day</t>
        </r>
      </text>
    </comment>
    <comment ref="E28" authorId="0" shapeId="0" xr:uid="{980579BC-F6AD-4387-98C6-B05E2F61AF77}">
      <text>
        <r>
          <rPr>
            <b/>
            <sz val="9"/>
            <color indexed="81"/>
            <rFont val="Tahoma"/>
            <family val="2"/>
          </rPr>
          <t>Dana Phillips:</t>
        </r>
        <r>
          <rPr>
            <sz val="9"/>
            <color indexed="81"/>
            <rFont val="Tahoma"/>
            <family val="2"/>
          </rPr>
          <t xml:space="preserve">
Behaviour Watch £2k</t>
        </r>
      </text>
    </comment>
    <comment ref="E40" authorId="0" shapeId="0" xr:uid="{D91AB0BD-B92F-4BCC-94AB-413FCC0F45E3}">
      <text>
        <r>
          <rPr>
            <b/>
            <sz val="9"/>
            <color indexed="81"/>
            <rFont val="Tahoma"/>
            <family val="2"/>
          </rPr>
          <t>Dana Phillips:</t>
        </r>
        <r>
          <rPr>
            <sz val="9"/>
            <color indexed="81"/>
            <rFont val="Tahoma"/>
            <family val="2"/>
          </rPr>
          <t xml:space="preserve">
Estimate £24k spend per month</t>
        </r>
      </text>
    </comment>
    <comment ref="E41" authorId="0" shapeId="0" xr:uid="{0E76B8BF-B169-4A80-AA14-873C7E13261E}">
      <text>
        <r>
          <rPr>
            <b/>
            <sz val="9"/>
            <color indexed="81"/>
            <rFont val="Tahoma"/>
            <family val="2"/>
          </rPr>
          <t>Dana Phillips:</t>
        </r>
        <r>
          <rPr>
            <sz val="9"/>
            <color indexed="81"/>
            <rFont val="Tahoma"/>
            <family val="2"/>
          </rPr>
          <t xml:space="preserve">
Estimate £6k spend per month</t>
        </r>
      </text>
    </comment>
  </commentList>
</comments>
</file>

<file path=xl/sharedStrings.xml><?xml version="1.0" encoding="utf-8"?>
<sst xmlns="http://schemas.openxmlformats.org/spreadsheetml/2006/main" count="822" uniqueCount="147">
  <si>
    <t>Actual Year to Date</t>
  </si>
  <si>
    <t>Committed</t>
  </si>
  <si>
    <t>B+C</t>
  </si>
  <si>
    <t>Budget</t>
  </si>
  <si>
    <t>Forecast outcome</t>
  </si>
  <si>
    <t>Variance from budget</t>
  </si>
  <si>
    <t>LA Grant</t>
  </si>
  <si>
    <t>Direct funding from SENA paid to Partnerships</t>
  </si>
  <si>
    <t>Any additional Grants</t>
  </si>
  <si>
    <t>Subscriptions from schools</t>
  </si>
  <si>
    <t>Recharges to schools for programme managed students – average pupil cost &amp; pupil premium</t>
  </si>
  <si>
    <t>Recharges to schools for programme managed students – SEND Top Up Funding</t>
  </si>
  <si>
    <t>Other</t>
  </si>
  <si>
    <t>INCOME</t>
  </si>
  <si>
    <t>EXPENDITURE Staffing</t>
  </si>
  <si>
    <t>Partnership Staff Teaching</t>
  </si>
  <si>
    <t>Partnership Support Staff</t>
  </si>
  <si>
    <t>Partnership Staff travel expenses</t>
  </si>
  <si>
    <t>Partnership Admin</t>
  </si>
  <si>
    <t>IT Infrastructure and licencing</t>
  </si>
  <si>
    <t>Occupation Costs (This may be a rent payable to a host school or external landlord. Where the Partnership is in its own accommodation give a more detailed breakdown)</t>
  </si>
  <si>
    <t>Energy</t>
  </si>
  <si>
    <t>Rates</t>
  </si>
  <si>
    <t>Rent</t>
  </si>
  <si>
    <t>Repairs and Maintenance</t>
  </si>
  <si>
    <t>Cleaning</t>
  </si>
  <si>
    <t>Grants to schools Tier 3</t>
  </si>
  <si>
    <t>Grants to Schools other</t>
  </si>
  <si>
    <t>Commissioned alternative provision</t>
  </si>
  <si>
    <t>Transport of students</t>
  </si>
  <si>
    <t>EXPENDITURE Occupation Costs</t>
  </si>
  <si>
    <t>EXPENDITURE payments to schools</t>
  </si>
  <si>
    <t>EXPENDITURE Alternative Placements</t>
  </si>
  <si>
    <t>remaining Budget</t>
  </si>
  <si>
    <t>Variance from budget %</t>
  </si>
  <si>
    <t>% Budget to date</t>
  </si>
  <si>
    <t>TOTAL</t>
  </si>
  <si>
    <t>SUMMARY</t>
  </si>
  <si>
    <t>Balance bf</t>
  </si>
  <si>
    <t>Overhead charges to the Partnership for finance and hr functions carried out by fund holder</t>
  </si>
  <si>
    <t>Income to date</t>
  </si>
  <si>
    <t xml:space="preserve">Expenditure to date </t>
  </si>
  <si>
    <t>End of year forecast Income</t>
  </si>
  <si>
    <t>Projected deficit/carry forward</t>
  </si>
  <si>
    <t>Carry forward as percentage of LA Grant</t>
  </si>
  <si>
    <t>Carry forward as percentage of Total Income</t>
  </si>
  <si>
    <t>For Office use only</t>
  </si>
  <si>
    <t xml:space="preserve">Total number for the year </t>
  </si>
  <si>
    <t>Partnership:</t>
  </si>
  <si>
    <t xml:space="preserve">Report issued for period up to end of </t>
  </si>
  <si>
    <t>payment to AS</t>
  </si>
  <si>
    <t>SURPLUS/DEFICIT in Year</t>
  </si>
  <si>
    <t xml:space="preserve">SURPLUS/DEFICIT with c/f </t>
  </si>
  <si>
    <t>TOTAL in Year</t>
  </si>
  <si>
    <t>this is the balance at the end of the school year 20-21</t>
  </si>
  <si>
    <t>if the SEIP has any enhanced packages from SENA the income will be paid direct to the Partnership - usually at £25.5k per student pro rata</t>
  </si>
  <si>
    <t>enter income as a negative</t>
  </si>
  <si>
    <t>the sheet calculates the income in the current year - not including any carry forward</t>
  </si>
  <si>
    <t>TOTAL including balance brought forward</t>
  </si>
  <si>
    <t>the sheet calculates the total funds available by including any balances carried forward</t>
  </si>
  <si>
    <t>the Partnership Agreement requires SEIPS to publish payments made to the Chair or the Director as a separate item</t>
  </si>
  <si>
    <t>directly employed by the partnership</t>
  </si>
  <si>
    <t>the SEIPS own costs</t>
  </si>
  <si>
    <t>Do not provide the details of occupancy costs unless the Partnership is paying them as separate items.  If the cost is the equivalent of a rental from the fund holding or another school enter it in this row.</t>
  </si>
  <si>
    <t>Only use if SEIP is paying directly for all aspects of building occupation</t>
  </si>
  <si>
    <t>some Partnerships collect a subscription from member schools, some have a grant from a general subscription.</t>
  </si>
  <si>
    <t>payments made by the partnerships to help them fund part time alternative provison placements</t>
  </si>
  <si>
    <t>commissioned places at alternative settings</t>
  </si>
  <si>
    <t>student transport costs</t>
  </si>
  <si>
    <t>Per pupil expenditure as planned in the Budget</t>
  </si>
  <si>
    <t>Actual per pupil expenditure to date</t>
  </si>
  <si>
    <t>End of Year forecast expenditure</t>
  </si>
  <si>
    <t>Payments for Chair’s time and/or Chair/Director</t>
  </si>
  <si>
    <t>Payments for any shared SEIP costs/consultancy</t>
  </si>
  <si>
    <t>payments made by the partnership as a grant for the school (include HBEP refunds to schools who have paid full cost in previous year)</t>
  </si>
  <si>
    <t>In House Education provision</t>
  </si>
  <si>
    <t>AP other</t>
  </si>
  <si>
    <t>spending associated with commissioning eg LEBC, CLM etc.</t>
  </si>
  <si>
    <t>any spending on CPD and any other non staffing spending  not accounted for elsewhere</t>
  </si>
  <si>
    <t>this is the LA Grant paid termly.  The summer term 22 is an estimate.  You can find the figures at www.leicsseips.org/finance</t>
  </si>
  <si>
    <t>this is the average pupil cost charged to schools for each programme managed students pro rata.  Schools should be charged for pupil premium where individual pm students have this allocation. These figures are at www.leicsseips.org/finance</t>
  </si>
  <si>
    <t>some programme managed students have EHCPs which allocate Top Up Funding from SENA.  This is paid to schools and should be collected from them for pm students.  Co-ordinators can check on their Register to see who is entitled to this.</t>
  </si>
  <si>
    <t>EXPENDITURE Other ed and admin costs</t>
  </si>
  <si>
    <t>any spending associated with educational provision "in house" furniture, equipment, consumables, student rewards etc.</t>
  </si>
  <si>
    <t>the Partnerhsip Agreement requires SEIPS to publish any payments made to the Fund Holding School or any other school for the provision of finance admin hr services</t>
  </si>
  <si>
    <t>Please return to astephenson@bpleics.co.uk by</t>
  </si>
  <si>
    <t>Period:</t>
  </si>
  <si>
    <t>HBEP</t>
  </si>
  <si>
    <t>W30</t>
  </si>
  <si>
    <t>W30/845150</t>
  </si>
  <si>
    <t>W10</t>
  </si>
  <si>
    <t>A02 except 835100</t>
  </si>
  <si>
    <t>820100/820350/820370</t>
  </si>
  <si>
    <t>810200/810250/810100/810201/810350</t>
  </si>
  <si>
    <t>730200/730400</t>
  </si>
  <si>
    <t>SLIP</t>
  </si>
  <si>
    <t>NWLLIP</t>
  </si>
  <si>
    <t>MSCIP</t>
  </si>
  <si>
    <t>LIP</t>
  </si>
  <si>
    <t>County</t>
  </si>
  <si>
    <t>Payments for any shared SEIP costs/consultancy includes CIT</t>
  </si>
  <si>
    <t>Other includes EWO</t>
  </si>
  <si>
    <t>Budgets</t>
  </si>
  <si>
    <t>EXPENDITURE</t>
  </si>
  <si>
    <t>NB Budget figures ammended to reflect plans drow up by NWLLIP Nov 2021</t>
  </si>
  <si>
    <t>Balance b /f</t>
  </si>
  <si>
    <t>LA Grant Allocation</t>
  </si>
  <si>
    <t>Income</t>
  </si>
  <si>
    <t>LA Funding for SLA</t>
  </si>
  <si>
    <t>Funding Transferred from Schools</t>
  </si>
  <si>
    <t>School Subscriptions</t>
  </si>
  <si>
    <t>Other Income:</t>
  </si>
  <si>
    <t xml:space="preserve">  Grants</t>
  </si>
  <si>
    <t xml:space="preserve">  Donations / Other Income</t>
  </si>
  <si>
    <t>Total Income</t>
  </si>
  <si>
    <t>Expenditure</t>
  </si>
  <si>
    <t xml:space="preserve">Direct Staffing Costs </t>
  </si>
  <si>
    <t>Staff Travel</t>
  </si>
  <si>
    <t>Staff Training</t>
  </si>
  <si>
    <t xml:space="preserve">ICT </t>
  </si>
  <si>
    <t>Consultancy</t>
  </si>
  <si>
    <t>Provider payments - commissioned places</t>
  </si>
  <si>
    <t>Student Transport</t>
  </si>
  <si>
    <t>School to School Support</t>
  </si>
  <si>
    <t>Overhead Charge</t>
  </si>
  <si>
    <t>Total Cost</t>
  </si>
  <si>
    <t>In Year Surplus / Deficit</t>
  </si>
  <si>
    <t>Carry Forward</t>
  </si>
  <si>
    <t>Carry Forward % of Total Income</t>
  </si>
  <si>
    <t>Carry Forward % of LA Grant</t>
  </si>
  <si>
    <t>Number of Students Supported</t>
  </si>
  <si>
    <t>Accomodation costs for home provision</t>
  </si>
  <si>
    <t>estimate</t>
  </si>
  <si>
    <t>Average Cost per student to the LA</t>
  </si>
  <si>
    <t>To date</t>
  </si>
  <si>
    <t>MAY</t>
  </si>
  <si>
    <t>updated 22.06.22</t>
  </si>
  <si>
    <t>Period 9</t>
  </si>
  <si>
    <t>May</t>
  </si>
  <si>
    <t>period 9</t>
  </si>
  <si>
    <t>Average Expenditure per student</t>
  </si>
  <si>
    <t>Total number of fte programme managed students on Oct Register</t>
  </si>
  <si>
    <t>Total number of fte programme managed students on March Register</t>
  </si>
  <si>
    <t>Total number of fte programme managed students on June Register</t>
  </si>
  <si>
    <t>Toal number on March Register</t>
  </si>
  <si>
    <t>Total number of fte programme managed students on Mar Register</t>
  </si>
  <si>
    <t>LNCIP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</si>
</sst>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color rgb="FFFFFF00"/>
      <name val="Calibri"/>
      <family val="2"/>
      <scheme val="minor"/>
    </font>
    <font>
      <sz val="11"/>
      <name val="Calibri"/>
      <family val="2"/>
      <scheme val="minor"/>
    </font>
    <font>
      <i/>
      <sz val="11"/>
      <color rgb="FFFF0000"/>
      <name val="Calibri"/>
      <family val="2"/>
      <scheme val="minor"/>
    </font>
    <font>
      <sz val="11"/>
      <color rgb="FFFF0000"/>
      <name val="Calibri"/>
      <family val="2"/>
      <scheme val="minor"/>
    </font>
    <font>
      <i/>
      <sz val="10"/>
      <color theme="1"/>
      <name val="Calibri"/>
      <family val="2"/>
      <scheme val="minor"/>
    </font>
    <font>
      <i/>
      <sz val="10"/>
      <color rgb="FFFF0000"/>
      <name val="Calibri"/>
      <family val="2"/>
      <scheme val="minor"/>
    </font>
    <font>
      <b/>
      <i/>
      <sz val="10"/>
      <color theme="1"/>
      <name val="Calibri"/>
      <family val="2"/>
      <scheme val="minor"/>
    </font>
    <font>
      <i/>
      <sz val="11"/>
      <color rgb="FF00B050"/>
      <name val="Calibri"/>
      <family val="2"/>
      <scheme val="minor"/>
    </font>
    <font>
      <i/>
      <sz val="11"/>
      <color theme="1"/>
      <name val="Calibri"/>
      <family val="2"/>
      <scheme val="minor"/>
    </font>
    <font>
      <sz val="11"/>
      <color theme="1"/>
      <name val="Calibri"/>
      <family val="2"/>
      <scheme val="minor"/>
    </font>
    <font>
      <b/>
      <u/>
      <sz val="11"/>
      <color theme="1"/>
      <name val="Calibri"/>
      <family val="2"/>
      <scheme val="minor"/>
    </font>
    <font>
      <b/>
      <sz val="9"/>
      <color indexed="81"/>
      <name val="Tahoma"/>
      <family val="2"/>
    </font>
    <font>
      <sz val="9"/>
      <color indexed="81"/>
      <name val="Tahoma"/>
      <family val="2"/>
    </font>
    <font>
      <b/>
      <sz val="9"/>
      <color indexed="81"/>
      <name val="Tahoma"/>
      <charset val="1"/>
    </font>
    <font>
      <sz val="9"/>
      <color indexed="81"/>
      <name val="Tahoma"/>
      <charset val="1"/>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5" tint="0.59999389629810485"/>
        <bgColor indexed="64"/>
      </patternFill>
    </fill>
  </fills>
  <borders count="2">
    <border>
      <left/>
      <right/>
      <top/>
      <bottom/>
      <diagonal/>
    </border>
    <border>
      <left/>
      <right/>
      <top style="thin">
        <color indexed="64"/>
      </top>
      <bottom style="double">
        <color indexed="64"/>
      </bottom>
      <diagonal/>
    </border>
  </borders>
  <cellStyleXfs count="2">
    <xf numFmtId="0" fontId="0" fillId="0" borderId="0"/>
    <xf numFmtId="9" fontId="11" fillId="0" borderId="0" applyFont="0" applyFill="0" applyBorder="0" applyAlignment="0" applyProtection="0"/>
  </cellStyleXfs>
  <cellXfs count="11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2" fontId="0" fillId="0" borderId="0" xfId="0" applyNumberFormat="1"/>
    <xf numFmtId="0" fontId="1" fillId="0" borderId="0" xfId="0" applyFont="1" applyAlignment="1">
      <alignment vertical="center" wrapText="1"/>
    </xf>
    <xf numFmtId="0" fontId="0" fillId="0" borderId="0" xfId="0" applyFont="1" applyAlignment="1">
      <alignment vertical="center" wrapText="1"/>
    </xf>
    <xf numFmtId="0" fontId="0" fillId="8" borderId="0" xfId="0" applyFill="1"/>
    <xf numFmtId="0" fontId="3" fillId="9" borderId="0" xfId="0" applyFont="1" applyFill="1"/>
    <xf numFmtId="0" fontId="0" fillId="10" borderId="0" xfId="0" applyFill="1"/>
    <xf numFmtId="0" fontId="0" fillId="11" borderId="0" xfId="0" applyFill="1"/>
    <xf numFmtId="2" fontId="0" fillId="11" borderId="0" xfId="0" applyNumberFormat="1" applyFill="1"/>
    <xf numFmtId="0" fontId="0" fillId="10" borderId="0" xfId="0" applyFill="1" applyAlignment="1">
      <alignment vertical="center" wrapText="1"/>
    </xf>
    <xf numFmtId="0" fontId="0" fillId="10" borderId="0" xfId="0" applyFill="1" applyAlignment="1">
      <alignment wrapText="1"/>
    </xf>
    <xf numFmtId="0" fontId="0" fillId="2" borderId="0" xfId="0" applyFill="1" applyProtection="1">
      <protection locked="0"/>
    </xf>
    <xf numFmtId="0" fontId="0" fillId="10" borderId="0" xfId="0" applyFill="1" applyProtection="1">
      <protection locked="0"/>
    </xf>
    <xf numFmtId="0" fontId="0" fillId="8" borderId="0" xfId="0" applyFill="1" applyProtection="1">
      <protection locked="0"/>
    </xf>
    <xf numFmtId="2" fontId="0" fillId="10" borderId="0" xfId="0" applyNumberFormat="1" applyFill="1" applyProtection="1">
      <protection locked="0"/>
    </xf>
    <xf numFmtId="0" fontId="3" fillId="9" borderId="0" xfId="0" applyFont="1" applyFill="1" applyProtection="1">
      <protection locked="0"/>
    </xf>
    <xf numFmtId="0" fontId="0" fillId="0" borderId="0" xfId="0" applyProtection="1">
      <protection locked="0"/>
    </xf>
    <xf numFmtId="0" fontId="4" fillId="0" borderId="0" xfId="0" applyFont="1"/>
    <xf numFmtId="0" fontId="0" fillId="3" borderId="0" xfId="0" applyFill="1" applyProtection="1">
      <protection locked="0"/>
    </xf>
    <xf numFmtId="0" fontId="0" fillId="4" borderId="0" xfId="0" applyFill="1" applyProtection="1">
      <protection locked="0"/>
    </xf>
    <xf numFmtId="0" fontId="0" fillId="6" borderId="0" xfId="0" applyFill="1" applyProtection="1">
      <protection locked="0"/>
    </xf>
    <xf numFmtId="0" fontId="0" fillId="0" borderId="0" xfId="0" applyProtection="1"/>
    <xf numFmtId="2" fontId="0" fillId="0" borderId="0" xfId="0" applyNumberFormat="1" applyProtection="1"/>
    <xf numFmtId="0" fontId="5" fillId="0" borderId="0" xfId="0" applyFont="1" applyAlignment="1">
      <alignment wrapText="1"/>
    </xf>
    <xf numFmtId="0" fontId="5" fillId="0" borderId="0" xfId="0" applyFont="1"/>
    <xf numFmtId="0" fontId="0" fillId="0" borderId="0" xfId="0" applyAlignment="1">
      <alignment horizontal="right"/>
    </xf>
    <xf numFmtId="0" fontId="0" fillId="0" borderId="0" xfId="0" applyAlignment="1" applyProtection="1">
      <alignment horizontal="left"/>
      <protection locked="0"/>
    </xf>
    <xf numFmtId="0" fontId="0" fillId="2" borderId="0" xfId="0" applyFill="1"/>
    <xf numFmtId="0" fontId="0" fillId="4" borderId="0" xfId="0" applyFill="1"/>
    <xf numFmtId="0" fontId="0" fillId="5" borderId="0" xfId="0" applyFill="1"/>
    <xf numFmtId="2" fontId="0" fillId="4" borderId="0" xfId="0" applyNumberFormat="1" applyFill="1"/>
    <xf numFmtId="0" fontId="0" fillId="6" borderId="0" xfId="0" applyFill="1"/>
    <xf numFmtId="0" fontId="0" fillId="7" borderId="0" xfId="0" applyFill="1"/>
    <xf numFmtId="2" fontId="0" fillId="6" borderId="0" xfId="0" applyNumberFormat="1" applyFill="1"/>
    <xf numFmtId="2" fontId="0" fillId="8" borderId="0" xfId="0" applyNumberFormat="1" applyFill="1"/>
    <xf numFmtId="2" fontId="0" fillId="10" borderId="0" xfId="0" applyNumberFormat="1" applyFill="1"/>
    <xf numFmtId="4" fontId="0" fillId="0" borderId="0" xfId="0" applyNumberFormat="1"/>
    <xf numFmtId="4" fontId="0" fillId="0" borderId="0" xfId="0" applyNumberFormat="1" applyProtection="1">
      <protection locked="0"/>
    </xf>
    <xf numFmtId="4" fontId="5" fillId="0" borderId="0" xfId="0" applyNumberFormat="1" applyFont="1"/>
    <xf numFmtId="4" fontId="0" fillId="2" borderId="0" xfId="0" applyNumberFormat="1" applyFill="1" applyProtection="1">
      <protection locked="0"/>
    </xf>
    <xf numFmtId="4" fontId="0" fillId="3" borderId="0" xfId="0" applyNumberFormat="1" applyFill="1" applyProtection="1">
      <protection locked="0"/>
    </xf>
    <xf numFmtId="4" fontId="0" fillId="2" borderId="0" xfId="0" applyNumberFormat="1" applyFill="1"/>
    <xf numFmtId="4" fontId="0" fillId="4" borderId="0" xfId="0" applyNumberFormat="1" applyFill="1" applyProtection="1">
      <protection locked="0"/>
    </xf>
    <xf numFmtId="4" fontId="0" fillId="5" borderId="0" xfId="0" applyNumberFormat="1" applyFill="1"/>
    <xf numFmtId="4" fontId="0" fillId="10" borderId="0" xfId="0" applyNumberFormat="1" applyFill="1"/>
    <xf numFmtId="4" fontId="0" fillId="10" borderId="0" xfId="0" applyNumberFormat="1" applyFill="1" applyProtection="1">
      <protection locked="0"/>
    </xf>
    <xf numFmtId="4" fontId="0" fillId="8" borderId="0" xfId="0" applyNumberFormat="1" applyFill="1"/>
    <xf numFmtId="4" fontId="0" fillId="8" borderId="0" xfId="0" applyNumberFormat="1" applyFill="1" applyProtection="1">
      <protection locked="0"/>
    </xf>
    <xf numFmtId="4" fontId="3" fillId="9" borderId="0" xfId="0" applyNumberFormat="1" applyFont="1" applyFill="1"/>
    <xf numFmtId="4" fontId="3" fillId="9" borderId="0" xfId="0" applyNumberFormat="1" applyFont="1" applyFill="1" applyProtection="1">
      <protection locked="0"/>
    </xf>
    <xf numFmtId="4" fontId="0" fillId="11" borderId="0" xfId="0" applyNumberFormat="1" applyFill="1"/>
    <xf numFmtId="0" fontId="6" fillId="0" borderId="0" xfId="0" applyFont="1" applyAlignment="1">
      <alignment horizontal="left" wrapText="1"/>
    </xf>
    <xf numFmtId="0" fontId="7" fillId="0" borderId="0" xfId="0" applyFont="1" applyAlignment="1">
      <alignment horizontal="left" wrapText="1"/>
    </xf>
    <xf numFmtId="0" fontId="6" fillId="0" borderId="0" xfId="0" applyFont="1" applyAlignment="1">
      <alignment horizontal="left" vertical="center" wrapText="1"/>
    </xf>
    <xf numFmtId="0" fontId="6" fillId="10" borderId="0" xfId="0" applyFont="1" applyFill="1" applyAlignment="1">
      <alignment horizontal="left" vertical="center" wrapText="1"/>
    </xf>
    <xf numFmtId="0" fontId="6" fillId="10" borderId="0" xfId="0" applyFont="1" applyFill="1" applyAlignment="1">
      <alignment horizontal="left" wrapText="1"/>
    </xf>
    <xf numFmtId="0" fontId="8" fillId="0" borderId="0" xfId="0" applyFont="1" applyAlignment="1">
      <alignment horizontal="left" vertical="center" wrapText="1"/>
    </xf>
    <xf numFmtId="0" fontId="9" fillId="0" borderId="0" xfId="0" applyFont="1"/>
    <xf numFmtId="4" fontId="0" fillId="12" borderId="0" xfId="0" applyNumberFormat="1" applyFill="1" applyProtection="1">
      <protection locked="0"/>
    </xf>
    <xf numFmtId="0" fontId="0" fillId="12" borderId="0" xfId="0" applyFill="1"/>
    <xf numFmtId="0" fontId="0" fillId="13" borderId="0" xfId="0" applyFill="1"/>
    <xf numFmtId="4" fontId="0" fillId="14" borderId="0" xfId="0" applyNumberFormat="1" applyFill="1"/>
    <xf numFmtId="0" fontId="0" fillId="15" borderId="0" xfId="0" applyFill="1"/>
    <xf numFmtId="0" fontId="0" fillId="16" borderId="0" xfId="0" applyFill="1"/>
    <xf numFmtId="0" fontId="0" fillId="17" borderId="0" xfId="0" applyFill="1"/>
    <xf numFmtId="4" fontId="0" fillId="18" borderId="0" xfId="0" applyNumberFormat="1" applyFill="1"/>
    <xf numFmtId="4" fontId="0" fillId="19" borderId="0" xfId="0" applyNumberFormat="1" applyFill="1"/>
    <xf numFmtId="0" fontId="1" fillId="5" borderId="0" xfId="0" applyFont="1" applyFill="1" applyAlignment="1">
      <alignment horizontal="center"/>
    </xf>
    <xf numFmtId="0" fontId="1" fillId="7" borderId="0" xfId="0" applyFont="1" applyFill="1" applyAlignment="1">
      <alignment horizontal="center"/>
    </xf>
    <xf numFmtId="0" fontId="1" fillId="14" borderId="0" xfId="0" applyFont="1" applyFill="1" applyAlignment="1">
      <alignment horizontal="center"/>
    </xf>
    <xf numFmtId="0" fontId="1" fillId="15" borderId="0" xfId="0" applyFont="1" applyFill="1" applyAlignment="1">
      <alignment horizontal="center"/>
    </xf>
    <xf numFmtId="0" fontId="1" fillId="17" borderId="0" xfId="0" applyFont="1" applyFill="1" applyAlignment="1">
      <alignment horizontal="center"/>
    </xf>
    <xf numFmtId="0" fontId="1" fillId="18" borderId="0" xfId="0" applyFont="1" applyFill="1" applyAlignment="1">
      <alignment horizontal="center"/>
    </xf>
    <xf numFmtId="0" fontId="1" fillId="20" borderId="0" xfId="0" applyFont="1" applyFill="1" applyAlignment="1">
      <alignment vertical="center" wrapText="1"/>
    </xf>
    <xf numFmtId="0" fontId="0" fillId="20" borderId="0" xfId="0" applyFill="1"/>
    <xf numFmtId="4" fontId="0" fillId="20" borderId="0" xfId="0" applyNumberFormat="1" applyFill="1"/>
    <xf numFmtId="0" fontId="0" fillId="0" borderId="0" xfId="0" applyFill="1"/>
    <xf numFmtId="0" fontId="10" fillId="0" borderId="0" xfId="0" applyFont="1" applyAlignment="1">
      <alignment wrapText="1"/>
    </xf>
    <xf numFmtId="0" fontId="0" fillId="21" borderId="0" xfId="0" applyFill="1"/>
    <xf numFmtId="0" fontId="12" fillId="21" borderId="0" xfId="0" applyFont="1" applyFill="1"/>
    <xf numFmtId="0" fontId="1" fillId="21" borderId="0" xfId="0" applyFont="1" applyFill="1"/>
    <xf numFmtId="0" fontId="0" fillId="21" borderId="1" xfId="0" applyFill="1" applyBorder="1"/>
    <xf numFmtId="0" fontId="1" fillId="21" borderId="1" xfId="0" applyFont="1" applyFill="1" applyBorder="1"/>
    <xf numFmtId="9" fontId="0" fillId="21" borderId="0" xfId="1" applyFont="1" applyFill="1"/>
    <xf numFmtId="2" fontId="0" fillId="21" borderId="0" xfId="0" applyNumberFormat="1" applyFill="1"/>
    <xf numFmtId="0" fontId="6" fillId="21" borderId="0" xfId="0" applyFont="1" applyFill="1" applyAlignment="1">
      <alignment horizontal="left" wrapText="1"/>
    </xf>
    <xf numFmtId="0" fontId="0" fillId="21" borderId="0" xfId="0" applyFill="1" applyAlignment="1">
      <alignment wrapText="1"/>
    </xf>
    <xf numFmtId="4" fontId="0" fillId="21" borderId="0" xfId="0" applyNumberFormat="1" applyFill="1"/>
    <xf numFmtId="0" fontId="0" fillId="12" borderId="0" xfId="0" applyFill="1" applyProtection="1">
      <protection locked="0"/>
    </xf>
    <xf numFmtId="2" fontId="0" fillId="12" borderId="0" xfId="0" applyNumberFormat="1" applyFill="1"/>
    <xf numFmtId="3" fontId="0" fillId="8" borderId="0" xfId="0" applyNumberFormat="1" applyFill="1" applyProtection="1">
      <protection locked="0"/>
    </xf>
    <xf numFmtId="4" fontId="0" fillId="6" borderId="0" xfId="0" applyNumberFormat="1" applyFill="1" applyProtection="1">
      <protection locked="0"/>
    </xf>
    <xf numFmtId="3" fontId="0" fillId="6" borderId="0" xfId="0" applyNumberFormat="1" applyFill="1" applyProtection="1">
      <protection locked="0"/>
    </xf>
    <xf numFmtId="2" fontId="0" fillId="2" borderId="0" xfId="0" applyNumberFormat="1" applyFill="1" applyProtection="1">
      <protection locked="0"/>
    </xf>
    <xf numFmtId="4" fontId="0" fillId="4" borderId="0" xfId="0" applyNumberFormat="1" applyFill="1"/>
    <xf numFmtId="4" fontId="0" fillId="7" borderId="0" xfId="0" applyNumberFormat="1" applyFill="1"/>
    <xf numFmtId="4" fontId="0" fillId="6" borderId="0" xfId="0" applyNumberFormat="1" applyFill="1"/>
    <xf numFmtId="0" fontId="0" fillId="0" borderId="0" xfId="0" applyAlignment="1">
      <alignment horizontal="center"/>
    </xf>
    <xf numFmtId="0" fontId="2" fillId="8" borderId="0" xfId="0" applyFont="1" applyFill="1" applyAlignment="1">
      <alignment horizontal="center" wrapText="1"/>
    </xf>
    <xf numFmtId="2" fontId="2" fillId="8" borderId="0" xfId="0" applyNumberFormat="1" applyFont="1" applyFill="1" applyAlignment="1">
      <alignment horizontal="center" wrapText="1"/>
    </xf>
    <xf numFmtId="0" fontId="4" fillId="0" borderId="0" xfId="0" applyFont="1" applyAlignment="1">
      <alignment horizontal="left" wrapText="1"/>
    </xf>
    <xf numFmtId="0" fontId="4" fillId="0" borderId="0" xfId="0" applyFont="1" applyAlignment="1">
      <alignment horizontal="left"/>
    </xf>
    <xf numFmtId="4" fontId="2" fillId="8" borderId="0" xfId="0" applyNumberFormat="1" applyFont="1" applyFill="1" applyAlignment="1">
      <alignment horizontal="center" wrapText="1"/>
    </xf>
    <xf numFmtId="4" fontId="0" fillId="0" borderId="0" xfId="0" applyNumberFormat="1" applyAlignment="1">
      <alignment horizontal="center"/>
    </xf>
    <xf numFmtId="3" fontId="0" fillId="21" borderId="0" xfId="0" applyNumberFormat="1" applyFill="1"/>
    <xf numFmtId="9" fontId="0" fillId="21" borderId="0" xfId="0" applyNumberFormat="1" applyFill="1"/>
    <xf numFmtId="0" fontId="0" fillId="6" borderId="0" xfId="0" applyFill="1" applyAlignment="1">
      <alignment wrapText="1"/>
    </xf>
    <xf numFmtId="2" fontId="1" fillId="0" borderId="0" xfId="0" applyNumberFormat="1" applyFont="1"/>
  </cellXfs>
  <cellStyles count="2">
    <cellStyle name="Normal" xfId="0" builtinId="0"/>
    <cellStyle name="Percent" xfId="1" builtinId="5"/>
  </cellStyles>
  <dxfs count="39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553085</xdr:colOff>
      <xdr:row>0</xdr:row>
      <xdr:rowOff>930275</xdr:rowOff>
    </xdr:to>
    <xdr:pic>
      <xdr:nvPicPr>
        <xdr:cNvPr id="2" name="Picture 1">
          <a:extLst>
            <a:ext uri="{FF2B5EF4-FFF2-40B4-BE49-F238E27FC236}">
              <a16:creationId xmlns:a16="http://schemas.microsoft.com/office/drawing/2014/main" id="{963B4FF8-A60C-4C55-A0E1-F56B209CBA9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11550" cy="926465"/>
        </a:xfrm>
        <a:prstGeom prst="rect">
          <a:avLst/>
        </a:prstGeom>
        <a:noFill/>
      </xdr:spPr>
    </xdr:pic>
    <xdr:clientData/>
  </xdr:twoCellAnchor>
  <xdr:twoCellAnchor>
    <xdr:from>
      <xdr:col>6</xdr:col>
      <xdr:colOff>9525</xdr:colOff>
      <xdr:row>0</xdr:row>
      <xdr:rowOff>161925</xdr:rowOff>
    </xdr:from>
    <xdr:to>
      <xdr:col>9</xdr:col>
      <xdr:colOff>800100</xdr:colOff>
      <xdr:row>1</xdr:row>
      <xdr:rowOff>114300</xdr:rowOff>
    </xdr:to>
    <xdr:sp macro="" textlink="">
      <xdr:nvSpPr>
        <xdr:cNvPr id="3" name="TextBox 2">
          <a:extLst>
            <a:ext uri="{FF2B5EF4-FFF2-40B4-BE49-F238E27FC236}">
              <a16:creationId xmlns:a16="http://schemas.microsoft.com/office/drawing/2014/main" id="{E863F53A-D57A-4402-815F-0F515DF14776}"/>
            </a:ext>
          </a:extLst>
        </xdr:cNvPr>
        <xdr:cNvSpPr txBox="1"/>
      </xdr:nvSpPr>
      <xdr:spPr>
        <a:xfrm>
          <a:off x="7067550" y="161925"/>
          <a:ext cx="324802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sheet is locked to help</a:t>
          </a:r>
          <a:r>
            <a:rPr lang="en-GB" sz="1100" baseline="0"/>
            <a:t> you avoid entering data in the wrong cells.  The password to unportect the sheet is </a:t>
          </a:r>
          <a:r>
            <a:rPr lang="en-GB" sz="1100" baseline="0">
              <a:solidFill>
                <a:srgbClr val="FF0000"/>
              </a:solidFill>
            </a:rPr>
            <a:t>SEIPSfinance.  </a:t>
          </a:r>
        </a:p>
        <a:p>
          <a:r>
            <a:rPr lang="en-GB" sz="1100" baseline="0">
              <a:solidFill>
                <a:srgbClr val="FF0000"/>
              </a:solidFill>
            </a:rPr>
            <a:t>Other information and guidance is available at </a:t>
          </a:r>
        </a:p>
        <a:p>
          <a:r>
            <a:rPr lang="en-GB"/>
            <a:t>www.leicsseips.org/finance</a:t>
          </a:r>
          <a:endParaRPr lang="en-GB"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47625</xdr:colOff>
      <xdr:row>0</xdr:row>
      <xdr:rowOff>657225</xdr:rowOff>
    </xdr:to>
    <xdr:pic>
      <xdr:nvPicPr>
        <xdr:cNvPr id="2" name="Picture 1">
          <a:extLst>
            <a:ext uri="{FF2B5EF4-FFF2-40B4-BE49-F238E27FC236}">
              <a16:creationId xmlns:a16="http://schemas.microsoft.com/office/drawing/2014/main" id="{BB2B9D25-3617-44ED-8453-F38B35B40D4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3000375" cy="657225"/>
        </a:xfrm>
        <a:prstGeom prst="rect">
          <a:avLst/>
        </a:prstGeom>
        <a:noFill/>
      </xdr:spPr>
    </xdr:pic>
    <xdr:clientData/>
  </xdr:twoCellAnchor>
  <xdr:twoCellAnchor>
    <xdr:from>
      <xdr:col>6</xdr:col>
      <xdr:colOff>9525</xdr:colOff>
      <xdr:row>0</xdr:row>
      <xdr:rowOff>161925</xdr:rowOff>
    </xdr:from>
    <xdr:to>
      <xdr:col>9</xdr:col>
      <xdr:colOff>800100</xdr:colOff>
      <xdr:row>1</xdr:row>
      <xdr:rowOff>114300</xdr:rowOff>
    </xdr:to>
    <xdr:sp macro="" textlink="">
      <xdr:nvSpPr>
        <xdr:cNvPr id="3" name="TextBox 2">
          <a:extLst>
            <a:ext uri="{FF2B5EF4-FFF2-40B4-BE49-F238E27FC236}">
              <a16:creationId xmlns:a16="http://schemas.microsoft.com/office/drawing/2014/main" id="{7D2117F7-7EC0-408D-9DE3-B47D00D355AD}"/>
            </a:ext>
          </a:extLst>
        </xdr:cNvPr>
        <xdr:cNvSpPr txBox="1"/>
      </xdr:nvSpPr>
      <xdr:spPr>
        <a:xfrm>
          <a:off x="7067550" y="161925"/>
          <a:ext cx="324802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sheet is locked to help</a:t>
          </a:r>
          <a:r>
            <a:rPr lang="en-GB" sz="1100" baseline="0"/>
            <a:t> you avoid entering data in the wrong cells.  The password to unportect the sheet is </a:t>
          </a:r>
          <a:r>
            <a:rPr lang="en-GB" sz="1100" baseline="0">
              <a:solidFill>
                <a:srgbClr val="FF0000"/>
              </a:solidFill>
            </a:rPr>
            <a:t>SEIPSfinance.  </a:t>
          </a:r>
        </a:p>
        <a:p>
          <a:r>
            <a:rPr lang="en-GB" sz="1100" baseline="0">
              <a:solidFill>
                <a:srgbClr val="FF0000"/>
              </a:solidFill>
            </a:rPr>
            <a:t>Other information and guidance is available at </a:t>
          </a:r>
        </a:p>
        <a:p>
          <a:r>
            <a:rPr lang="en-GB"/>
            <a:t>www.leicsseips.org/finance</a:t>
          </a:r>
          <a:endParaRPr lang="en-GB" sz="1100">
            <a:solidFill>
              <a:srgbClr val="FF0000"/>
            </a:solidFill>
          </a:endParaRPr>
        </a:p>
      </xdr:txBody>
    </xdr:sp>
    <xdr:clientData/>
  </xdr:twoCellAnchor>
  <xdr:twoCellAnchor>
    <xdr:from>
      <xdr:col>8</xdr:col>
      <xdr:colOff>19050</xdr:colOff>
      <xdr:row>0</xdr:row>
      <xdr:rowOff>628650</xdr:rowOff>
    </xdr:from>
    <xdr:to>
      <xdr:col>10</xdr:col>
      <xdr:colOff>1152525</xdr:colOff>
      <xdr:row>6</xdr:row>
      <xdr:rowOff>95250</xdr:rowOff>
    </xdr:to>
    <xdr:sp macro="" textlink="">
      <xdr:nvSpPr>
        <xdr:cNvPr id="4" name="TextBox 3">
          <a:extLst>
            <a:ext uri="{FF2B5EF4-FFF2-40B4-BE49-F238E27FC236}">
              <a16:creationId xmlns:a16="http://schemas.microsoft.com/office/drawing/2014/main" id="{AC36BF36-B79E-6BEE-C277-47C5BE716BC2}"/>
            </a:ext>
          </a:extLst>
        </xdr:cNvPr>
        <xdr:cNvSpPr txBox="1"/>
      </xdr:nvSpPr>
      <xdr:spPr>
        <a:xfrm>
          <a:off x="8715375" y="628650"/>
          <a:ext cx="2771775" cy="1123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FF0000"/>
              </a:solidFill>
            </a:rPr>
            <a:t>NB LNCIP are planning</a:t>
          </a:r>
          <a:r>
            <a:rPr lang="en-GB" sz="1100" baseline="0">
              <a:solidFill>
                <a:srgbClr val="FF0000"/>
              </a:solidFill>
            </a:rPr>
            <a:t> to update their forecast outcome in Period 10 - this is AS's estimate - not LNCIPs</a:t>
          </a:r>
          <a:endParaRPr lang="en-GB"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142875</xdr:colOff>
      <xdr:row>0</xdr:row>
      <xdr:rowOff>923925</xdr:rowOff>
    </xdr:to>
    <xdr:pic>
      <xdr:nvPicPr>
        <xdr:cNvPr id="2" name="Picture 1">
          <a:extLst>
            <a:ext uri="{FF2B5EF4-FFF2-40B4-BE49-F238E27FC236}">
              <a16:creationId xmlns:a16="http://schemas.microsoft.com/office/drawing/2014/main" id="{BF4182FC-BE2A-412D-9BF8-372CCA31F3A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05150" cy="923925"/>
        </a:xfrm>
        <a:prstGeom prst="rect">
          <a:avLst/>
        </a:prstGeom>
        <a:noFill/>
      </xdr:spPr>
    </xdr:pic>
    <xdr:clientData/>
  </xdr:twoCellAnchor>
  <xdr:twoCellAnchor>
    <xdr:from>
      <xdr:col>6</xdr:col>
      <xdr:colOff>9525</xdr:colOff>
      <xdr:row>0</xdr:row>
      <xdr:rowOff>161925</xdr:rowOff>
    </xdr:from>
    <xdr:to>
      <xdr:col>9</xdr:col>
      <xdr:colOff>800100</xdr:colOff>
      <xdr:row>1</xdr:row>
      <xdr:rowOff>28575</xdr:rowOff>
    </xdr:to>
    <xdr:sp macro="" textlink="">
      <xdr:nvSpPr>
        <xdr:cNvPr id="3" name="TextBox 2">
          <a:extLst>
            <a:ext uri="{FF2B5EF4-FFF2-40B4-BE49-F238E27FC236}">
              <a16:creationId xmlns:a16="http://schemas.microsoft.com/office/drawing/2014/main" id="{1CB18D7E-C85B-4BFB-AD94-EB0DF24ECF16}"/>
            </a:ext>
          </a:extLst>
        </xdr:cNvPr>
        <xdr:cNvSpPr txBox="1"/>
      </xdr:nvSpPr>
      <xdr:spPr>
        <a:xfrm>
          <a:off x="7067550" y="161925"/>
          <a:ext cx="324802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sheet is locked to help</a:t>
          </a:r>
          <a:r>
            <a:rPr lang="en-GB" sz="1100" baseline="0"/>
            <a:t> you avoid entering data in the wrong cells.  The password to unportect the sheet is </a:t>
          </a:r>
          <a:r>
            <a:rPr lang="en-GB" sz="1100" baseline="0">
              <a:solidFill>
                <a:srgbClr val="FF0000"/>
              </a:solidFill>
            </a:rPr>
            <a:t>SEIPSfinance.  </a:t>
          </a:r>
          <a:endParaRPr lang="en-GB"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133350</xdr:colOff>
      <xdr:row>0</xdr:row>
      <xdr:rowOff>885825</xdr:rowOff>
    </xdr:to>
    <xdr:pic>
      <xdr:nvPicPr>
        <xdr:cNvPr id="2" name="Picture 1">
          <a:extLst>
            <a:ext uri="{FF2B5EF4-FFF2-40B4-BE49-F238E27FC236}">
              <a16:creationId xmlns:a16="http://schemas.microsoft.com/office/drawing/2014/main" id="{27FB6EE4-C0D7-4F27-B7C8-8495AAA7B2C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95625" cy="885825"/>
        </a:xfrm>
        <a:prstGeom prst="rect">
          <a:avLst/>
        </a:prstGeom>
        <a:noFill/>
      </xdr:spPr>
    </xdr:pic>
    <xdr:clientData/>
  </xdr:twoCellAnchor>
  <xdr:twoCellAnchor>
    <xdr:from>
      <xdr:col>6</xdr:col>
      <xdr:colOff>9525</xdr:colOff>
      <xdr:row>0</xdr:row>
      <xdr:rowOff>161925</xdr:rowOff>
    </xdr:from>
    <xdr:to>
      <xdr:col>9</xdr:col>
      <xdr:colOff>800100</xdr:colOff>
      <xdr:row>1</xdr:row>
      <xdr:rowOff>28575</xdr:rowOff>
    </xdr:to>
    <xdr:sp macro="" textlink="">
      <xdr:nvSpPr>
        <xdr:cNvPr id="3" name="TextBox 2">
          <a:extLst>
            <a:ext uri="{FF2B5EF4-FFF2-40B4-BE49-F238E27FC236}">
              <a16:creationId xmlns:a16="http://schemas.microsoft.com/office/drawing/2014/main" id="{91600F09-C655-484E-BCF6-D62AA0A485C7}"/>
            </a:ext>
          </a:extLst>
        </xdr:cNvPr>
        <xdr:cNvSpPr txBox="1"/>
      </xdr:nvSpPr>
      <xdr:spPr>
        <a:xfrm>
          <a:off x="7067550" y="161925"/>
          <a:ext cx="324802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sheet is locked to help</a:t>
          </a:r>
          <a:r>
            <a:rPr lang="en-GB" sz="1100" baseline="0"/>
            <a:t> you avoid entering data in the wrong cells.  The password to unportect the sheet is </a:t>
          </a:r>
          <a:r>
            <a:rPr lang="en-GB" sz="1100" baseline="0">
              <a:solidFill>
                <a:srgbClr val="FF0000"/>
              </a:solidFill>
            </a:rPr>
            <a:t>SEIPSfinance.  </a:t>
          </a:r>
          <a:endParaRPr lang="en-GB" sz="1100">
            <a:solidFill>
              <a:srgbClr val="FF0000"/>
            </a:solidFill>
          </a:endParaRPr>
        </a:p>
      </xdr:txBody>
    </xdr:sp>
    <xdr:clientData/>
  </xdr:twoCellAnchor>
  <xdr:twoCellAnchor editAs="oneCell">
    <xdr:from>
      <xdr:col>0</xdr:col>
      <xdr:colOff>0</xdr:colOff>
      <xdr:row>0</xdr:row>
      <xdr:rowOff>0</xdr:rowOff>
    </xdr:from>
    <xdr:to>
      <xdr:col>1</xdr:col>
      <xdr:colOff>549275</xdr:colOff>
      <xdr:row>0</xdr:row>
      <xdr:rowOff>926465</xdr:rowOff>
    </xdr:to>
    <xdr:pic>
      <xdr:nvPicPr>
        <xdr:cNvPr id="4" name="Picture 3">
          <a:extLst>
            <a:ext uri="{FF2B5EF4-FFF2-40B4-BE49-F238E27FC236}">
              <a16:creationId xmlns:a16="http://schemas.microsoft.com/office/drawing/2014/main" id="{3143237B-C4BD-4DD7-A9A8-83BB9E55392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11550" cy="926465"/>
        </a:xfrm>
        <a:prstGeom prst="rect">
          <a:avLst/>
        </a:prstGeom>
        <a:noFill/>
      </xdr:spPr>
    </xdr:pic>
    <xdr:clientData/>
  </xdr:twoCellAnchor>
  <xdr:twoCellAnchor>
    <xdr:from>
      <xdr:col>6</xdr:col>
      <xdr:colOff>9525</xdr:colOff>
      <xdr:row>0</xdr:row>
      <xdr:rowOff>161925</xdr:rowOff>
    </xdr:from>
    <xdr:to>
      <xdr:col>9</xdr:col>
      <xdr:colOff>800100</xdr:colOff>
      <xdr:row>1</xdr:row>
      <xdr:rowOff>28575</xdr:rowOff>
    </xdr:to>
    <xdr:sp macro="" textlink="">
      <xdr:nvSpPr>
        <xdr:cNvPr id="5" name="TextBox 4">
          <a:extLst>
            <a:ext uri="{FF2B5EF4-FFF2-40B4-BE49-F238E27FC236}">
              <a16:creationId xmlns:a16="http://schemas.microsoft.com/office/drawing/2014/main" id="{50867BD3-5510-421C-8EFE-B72871203778}"/>
            </a:ext>
          </a:extLst>
        </xdr:cNvPr>
        <xdr:cNvSpPr txBox="1"/>
      </xdr:nvSpPr>
      <xdr:spPr>
        <a:xfrm>
          <a:off x="7067550" y="161925"/>
          <a:ext cx="324802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sheet is locked to help</a:t>
          </a:r>
          <a:r>
            <a:rPr lang="en-GB" sz="1100" baseline="0"/>
            <a:t> you avoid entering data in the wrong cells.  The password to unportect the sheet is </a:t>
          </a:r>
          <a:r>
            <a:rPr lang="en-GB" sz="1100" baseline="0">
              <a:solidFill>
                <a:srgbClr val="FF0000"/>
              </a:solidFill>
            </a:rPr>
            <a:t>SEIPSfinance.  </a:t>
          </a:r>
          <a:endParaRPr lang="en-GB" sz="1100">
            <a:solidFill>
              <a:srgbClr val="FF0000"/>
            </a:solidFill>
          </a:endParaRPr>
        </a:p>
      </xdr:txBody>
    </xdr:sp>
    <xdr:clientData/>
  </xdr:twoCellAnchor>
  <xdr:twoCellAnchor>
    <xdr:from>
      <xdr:col>8</xdr:col>
      <xdr:colOff>0</xdr:colOff>
      <xdr:row>3</xdr:row>
      <xdr:rowOff>0</xdr:rowOff>
    </xdr:from>
    <xdr:to>
      <xdr:col>10</xdr:col>
      <xdr:colOff>1133475</xdr:colOff>
      <xdr:row>6</xdr:row>
      <xdr:rowOff>171450</xdr:rowOff>
    </xdr:to>
    <xdr:sp macro="" textlink="">
      <xdr:nvSpPr>
        <xdr:cNvPr id="7" name="TextBox 6">
          <a:extLst>
            <a:ext uri="{FF2B5EF4-FFF2-40B4-BE49-F238E27FC236}">
              <a16:creationId xmlns:a16="http://schemas.microsoft.com/office/drawing/2014/main" id="{8DA48E47-52F6-4F64-8098-D6500B854DC9}"/>
            </a:ext>
          </a:extLst>
        </xdr:cNvPr>
        <xdr:cNvSpPr txBox="1"/>
      </xdr:nvSpPr>
      <xdr:spPr>
        <a:xfrm>
          <a:off x="8696325" y="1381125"/>
          <a:ext cx="2771775" cy="1123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FF0000"/>
              </a:solidFill>
            </a:rPr>
            <a:t>NB NWLLIP are now effectively reporting</a:t>
          </a:r>
          <a:r>
            <a:rPr lang="en-GB" sz="1100" baseline="0">
              <a:solidFill>
                <a:srgbClr val="FF0000"/>
              </a:solidFill>
            </a:rPr>
            <a:t> expenditure in line with the requirements of the Partnership Agreement but are not yet using this process to forecast outcomes for the end of the year.</a:t>
          </a:r>
          <a:endParaRPr lang="en-GB"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1158875</xdr:colOff>
      <xdr:row>0</xdr:row>
      <xdr:rowOff>193040</xdr:rowOff>
    </xdr:to>
    <xdr:pic>
      <xdr:nvPicPr>
        <xdr:cNvPr id="3" name="Picture 2">
          <a:extLst>
            <a:ext uri="{FF2B5EF4-FFF2-40B4-BE49-F238E27FC236}">
              <a16:creationId xmlns:a16="http://schemas.microsoft.com/office/drawing/2014/main" id="{69C635EC-EFFC-4830-8949-A2598E7F7FA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58875" cy="193040"/>
        </a:xfrm>
        <a:prstGeom prst="rect">
          <a:avLst/>
        </a:prstGeom>
        <a:noFill/>
      </xdr:spPr>
    </xdr:pic>
    <xdr:clientData/>
  </xdr:twoCellAnchor>
  <xdr:twoCellAnchor editAs="oneCell">
    <xdr:from>
      <xdr:col>0</xdr:col>
      <xdr:colOff>0</xdr:colOff>
      <xdr:row>0</xdr:row>
      <xdr:rowOff>0</xdr:rowOff>
    </xdr:from>
    <xdr:to>
      <xdr:col>1</xdr:col>
      <xdr:colOff>549275</xdr:colOff>
      <xdr:row>0</xdr:row>
      <xdr:rowOff>904875</xdr:rowOff>
    </xdr:to>
    <xdr:pic>
      <xdr:nvPicPr>
        <xdr:cNvPr id="4" name="Picture 3">
          <a:extLst>
            <a:ext uri="{FF2B5EF4-FFF2-40B4-BE49-F238E27FC236}">
              <a16:creationId xmlns:a16="http://schemas.microsoft.com/office/drawing/2014/main" id="{7AEEAF70-17EE-4456-A9D0-209640A85D0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3511550" cy="904875"/>
        </a:xfrm>
        <a:prstGeom prst="rect">
          <a:avLst/>
        </a:prstGeom>
        <a:noFill/>
      </xdr:spPr>
    </xdr:pic>
    <xdr:clientData/>
  </xdr:twoCellAnchor>
  <xdr:twoCellAnchor>
    <xdr:from>
      <xdr:col>7</xdr:col>
      <xdr:colOff>9525</xdr:colOff>
      <xdr:row>0</xdr:row>
      <xdr:rowOff>161925</xdr:rowOff>
    </xdr:from>
    <xdr:to>
      <xdr:col>10</xdr:col>
      <xdr:colOff>800100</xdr:colOff>
      <xdr:row>1</xdr:row>
      <xdr:rowOff>28575</xdr:rowOff>
    </xdr:to>
    <xdr:sp macro="" textlink="">
      <xdr:nvSpPr>
        <xdr:cNvPr id="5" name="TextBox 4">
          <a:extLst>
            <a:ext uri="{FF2B5EF4-FFF2-40B4-BE49-F238E27FC236}">
              <a16:creationId xmlns:a16="http://schemas.microsoft.com/office/drawing/2014/main" id="{D3C09632-A038-4914-AD6F-98FFFDD797EE}"/>
            </a:ext>
          </a:extLst>
        </xdr:cNvPr>
        <xdr:cNvSpPr txBox="1"/>
      </xdr:nvSpPr>
      <xdr:spPr>
        <a:xfrm>
          <a:off x="8010525" y="161925"/>
          <a:ext cx="324802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sheet is locked to help</a:t>
          </a:r>
          <a:r>
            <a:rPr lang="en-GB" sz="1100" baseline="0"/>
            <a:t> you avoid entering data in the wrong cells.  The password to unportect the sheet is </a:t>
          </a:r>
          <a:r>
            <a:rPr lang="en-GB" sz="1100" baseline="0">
              <a:solidFill>
                <a:srgbClr val="FF0000"/>
              </a:solidFill>
            </a:rPr>
            <a:t>SEIPSfinance.  </a:t>
          </a:r>
          <a:endParaRPr lang="en-GB"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1158875</xdr:colOff>
      <xdr:row>1</xdr:row>
      <xdr:rowOff>2540</xdr:rowOff>
    </xdr:to>
    <xdr:pic>
      <xdr:nvPicPr>
        <xdr:cNvPr id="2" name="Picture 1">
          <a:extLst>
            <a:ext uri="{FF2B5EF4-FFF2-40B4-BE49-F238E27FC236}">
              <a16:creationId xmlns:a16="http://schemas.microsoft.com/office/drawing/2014/main" id="{5B6CE251-7931-449B-AB14-C8809F0CEA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58875" cy="193040"/>
        </a:xfrm>
        <a:prstGeom prst="rect">
          <a:avLst/>
        </a:prstGeom>
        <a:noFill/>
      </xdr:spPr>
    </xdr:pic>
    <xdr:clientData/>
  </xdr:twoCellAnchor>
  <xdr:twoCellAnchor editAs="oneCell">
    <xdr:from>
      <xdr:col>0</xdr:col>
      <xdr:colOff>0</xdr:colOff>
      <xdr:row>0</xdr:row>
      <xdr:rowOff>1</xdr:rowOff>
    </xdr:from>
    <xdr:to>
      <xdr:col>1</xdr:col>
      <xdr:colOff>0</xdr:colOff>
      <xdr:row>0</xdr:row>
      <xdr:rowOff>914401</xdr:rowOff>
    </xdr:to>
    <xdr:pic>
      <xdr:nvPicPr>
        <xdr:cNvPr id="3" name="Picture 2">
          <a:extLst>
            <a:ext uri="{FF2B5EF4-FFF2-40B4-BE49-F238E27FC236}">
              <a16:creationId xmlns:a16="http://schemas.microsoft.com/office/drawing/2014/main" id="{55097ADA-6C87-462A-B1CC-3ED113EC4C9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
          <a:ext cx="2962275" cy="914400"/>
        </a:xfrm>
        <a:prstGeom prst="rect">
          <a:avLst/>
        </a:prstGeom>
        <a:noFill/>
      </xdr:spPr>
    </xdr:pic>
    <xdr:clientData/>
  </xdr:twoCellAnchor>
  <xdr:twoCellAnchor>
    <xdr:from>
      <xdr:col>6</xdr:col>
      <xdr:colOff>9525</xdr:colOff>
      <xdr:row>0</xdr:row>
      <xdr:rowOff>161925</xdr:rowOff>
    </xdr:from>
    <xdr:to>
      <xdr:col>9</xdr:col>
      <xdr:colOff>800100</xdr:colOff>
      <xdr:row>1</xdr:row>
      <xdr:rowOff>28575</xdr:rowOff>
    </xdr:to>
    <xdr:sp macro="" textlink="">
      <xdr:nvSpPr>
        <xdr:cNvPr id="4" name="TextBox 3">
          <a:extLst>
            <a:ext uri="{FF2B5EF4-FFF2-40B4-BE49-F238E27FC236}">
              <a16:creationId xmlns:a16="http://schemas.microsoft.com/office/drawing/2014/main" id="{B37E2B22-4A72-4DD8-A592-DF680A98456C}"/>
            </a:ext>
          </a:extLst>
        </xdr:cNvPr>
        <xdr:cNvSpPr txBox="1"/>
      </xdr:nvSpPr>
      <xdr:spPr>
        <a:xfrm>
          <a:off x="8010525" y="161925"/>
          <a:ext cx="324802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sheet is locked to help</a:t>
          </a:r>
          <a:r>
            <a:rPr lang="en-GB" sz="1100" baseline="0"/>
            <a:t> you avoid entering data in the wrong cells.  The password to unportect the sheet is </a:t>
          </a:r>
          <a:r>
            <a:rPr lang="en-GB" sz="1100" baseline="0">
              <a:solidFill>
                <a:srgbClr val="FF0000"/>
              </a:solidFill>
            </a:rPr>
            <a:t>SEIPSfinance.  </a:t>
          </a:r>
          <a:endParaRPr lang="en-GB"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1"/>
  <sheetViews>
    <sheetView tabSelected="1" zoomScaleNormal="100" workbookViewId="0">
      <pane xSplit="5" ySplit="5" topLeftCell="F6" activePane="bottomRight" state="frozen"/>
      <selection pane="topRight" activeCell="F1" sqref="F1"/>
      <selection pane="bottomLeft" activeCell="A6" sqref="A6"/>
      <selection pane="bottomRight" activeCell="G101" sqref="G101"/>
    </sheetView>
  </sheetViews>
  <sheetFormatPr defaultRowHeight="15" x14ac:dyDescent="0.25"/>
  <cols>
    <col min="1" max="1" width="44.42578125" style="1" customWidth="1"/>
    <col min="2" max="6" width="12.28515625" customWidth="1"/>
    <col min="7" max="7" width="12.28515625" style="4" customWidth="1"/>
    <col min="8" max="9" width="12.28515625" customWidth="1"/>
    <col min="10" max="10" width="12.28515625" style="4" customWidth="1"/>
    <col min="11" max="11" width="20.85546875" customWidth="1"/>
  </cols>
  <sheetData>
    <row r="1" spans="1:22" ht="78.75" customHeight="1" x14ac:dyDescent="0.25">
      <c r="C1" s="100" t="s">
        <v>48</v>
      </c>
      <c r="D1" s="100"/>
      <c r="E1" s="19" t="s">
        <v>87</v>
      </c>
    </row>
    <row r="2" spans="1:22" x14ac:dyDescent="0.25">
      <c r="A2" s="1" t="s">
        <v>49</v>
      </c>
      <c r="B2" s="19" t="s">
        <v>135</v>
      </c>
      <c r="C2" s="29">
        <v>2022</v>
      </c>
      <c r="D2" s="28" t="s">
        <v>86</v>
      </c>
      <c r="E2" s="29">
        <v>9</v>
      </c>
    </row>
    <row r="3" spans="1:22" x14ac:dyDescent="0.25">
      <c r="A3" s="26"/>
      <c r="B3" s="27"/>
      <c r="C3" s="27"/>
    </row>
    <row r="4" spans="1:22" ht="45" customHeight="1" x14ac:dyDescent="0.25">
      <c r="B4" s="101" t="s">
        <v>0</v>
      </c>
      <c r="C4" s="101" t="s">
        <v>1</v>
      </c>
      <c r="D4" s="101" t="s">
        <v>2</v>
      </c>
      <c r="E4" s="101" t="s">
        <v>3</v>
      </c>
      <c r="F4" s="101" t="s">
        <v>33</v>
      </c>
      <c r="G4" s="102" t="s">
        <v>35</v>
      </c>
      <c r="H4" s="101" t="s">
        <v>4</v>
      </c>
      <c r="I4" s="101" t="s">
        <v>5</v>
      </c>
      <c r="J4" s="102" t="s">
        <v>34</v>
      </c>
    </row>
    <row r="5" spans="1:22" x14ac:dyDescent="0.25">
      <c r="A5" s="1" t="s">
        <v>13</v>
      </c>
      <c r="B5" s="101"/>
      <c r="C5" s="101"/>
      <c r="D5" s="101"/>
      <c r="E5" s="101"/>
      <c r="F5" s="101"/>
      <c r="G5" s="102"/>
      <c r="H5" s="101"/>
      <c r="I5" s="101"/>
      <c r="J5" s="102"/>
      <c r="K5" s="20" t="s">
        <v>56</v>
      </c>
      <c r="L5" s="20"/>
      <c r="M5" s="20"/>
      <c r="N5" s="20"/>
      <c r="O5" s="20"/>
      <c r="P5" s="20"/>
      <c r="Q5" s="20"/>
      <c r="R5" s="20"/>
      <c r="S5" s="20"/>
      <c r="T5" s="20"/>
      <c r="U5" s="20"/>
      <c r="V5" s="20"/>
    </row>
    <row r="6" spans="1:22" x14ac:dyDescent="0.25">
      <c r="A6" s="1" t="s">
        <v>38</v>
      </c>
      <c r="B6" s="14">
        <v>-248068</v>
      </c>
      <c r="C6" s="21"/>
      <c r="D6" s="30">
        <f>B6+C6</f>
        <v>-248068</v>
      </c>
      <c r="E6" s="22">
        <v>-248068</v>
      </c>
      <c r="F6" s="32">
        <f>E6-D6</f>
        <v>0</v>
      </c>
      <c r="G6" s="33">
        <f>D6/E6%</f>
        <v>100</v>
      </c>
      <c r="H6" s="23">
        <v>-248068</v>
      </c>
      <c r="I6" s="35">
        <f>E6-H6</f>
        <v>0</v>
      </c>
      <c r="J6" s="36">
        <f>H6/E6%</f>
        <v>100</v>
      </c>
      <c r="K6" s="20" t="s">
        <v>54</v>
      </c>
      <c r="L6" s="20"/>
      <c r="M6" s="20"/>
      <c r="N6" s="20"/>
      <c r="O6" s="20"/>
      <c r="P6" s="20"/>
      <c r="Q6" s="20"/>
      <c r="R6" s="20"/>
      <c r="S6" s="20"/>
      <c r="T6" s="20"/>
      <c r="U6" s="20"/>
      <c r="V6" s="20"/>
    </row>
    <row r="7" spans="1:22" x14ac:dyDescent="0.25">
      <c r="A7" s="2" t="s">
        <v>6</v>
      </c>
      <c r="B7" s="14">
        <f>-176536+-146731+-122605</f>
        <v>-445872</v>
      </c>
      <c r="C7" s="21"/>
      <c r="D7" s="30">
        <f t="shared" ref="D7:D42" si="0">B7+C7</f>
        <v>-445872</v>
      </c>
      <c r="E7" s="22">
        <v>-446347</v>
      </c>
      <c r="F7" s="32">
        <f t="shared" ref="F7:F42" si="1">E7-D7</f>
        <v>-475</v>
      </c>
      <c r="G7" s="33">
        <f t="shared" ref="G7:G42" si="2">D7/E7%</f>
        <v>99.893580555039009</v>
      </c>
      <c r="H7" s="23">
        <v>-446347</v>
      </c>
      <c r="I7" s="35">
        <f t="shared" ref="I7:I42" si="3">E7-H7</f>
        <v>0</v>
      </c>
      <c r="J7" s="36">
        <f t="shared" ref="J7:J42" si="4">H7/E7%</f>
        <v>100</v>
      </c>
      <c r="K7" s="20" t="s">
        <v>79</v>
      </c>
      <c r="L7" s="20"/>
      <c r="M7" s="20"/>
      <c r="N7" s="20"/>
      <c r="O7" s="20"/>
      <c r="P7" s="20"/>
      <c r="Q7" s="20"/>
      <c r="R7" s="20"/>
      <c r="S7" s="20"/>
      <c r="T7" s="20"/>
      <c r="U7" s="20"/>
      <c r="V7" s="20"/>
    </row>
    <row r="8" spans="1:22" ht="17.25" customHeight="1" x14ac:dyDescent="0.25">
      <c r="A8" s="2" t="s">
        <v>7</v>
      </c>
      <c r="B8" s="14">
        <f>-66299.73+-26305</f>
        <v>-92604.73</v>
      </c>
      <c r="C8" s="21"/>
      <c r="D8" s="30">
        <f t="shared" si="0"/>
        <v>-92604.73</v>
      </c>
      <c r="E8" s="22">
        <v>-76500</v>
      </c>
      <c r="F8" s="32">
        <f t="shared" si="1"/>
        <v>16104.729999999996</v>
      </c>
      <c r="G8" s="33">
        <f t="shared" si="2"/>
        <v>121.05193464052287</v>
      </c>
      <c r="H8" s="23">
        <v>-76500</v>
      </c>
      <c r="I8" s="35">
        <f t="shared" si="3"/>
        <v>0</v>
      </c>
      <c r="J8" s="36">
        <f t="shared" si="4"/>
        <v>100</v>
      </c>
      <c r="K8" s="20" t="s">
        <v>55</v>
      </c>
      <c r="L8" s="20"/>
      <c r="M8" s="20"/>
      <c r="N8" s="20"/>
      <c r="O8" s="20"/>
      <c r="P8" s="20"/>
      <c r="Q8" s="20"/>
      <c r="R8" s="20"/>
      <c r="S8" s="20"/>
      <c r="T8" s="20"/>
      <c r="U8" s="20"/>
      <c r="V8" s="20"/>
    </row>
    <row r="9" spans="1:22" x14ac:dyDescent="0.25">
      <c r="A9" s="2" t="s">
        <v>8</v>
      </c>
      <c r="B9" s="14"/>
      <c r="C9" s="21"/>
      <c r="D9" s="30">
        <f t="shared" si="0"/>
        <v>0</v>
      </c>
      <c r="E9" s="22">
        <v>0</v>
      </c>
      <c r="F9" s="32">
        <f t="shared" si="1"/>
        <v>0</v>
      </c>
      <c r="G9" s="33" t="e">
        <f t="shared" si="2"/>
        <v>#DIV/0!</v>
      </c>
      <c r="H9" s="23"/>
      <c r="I9" s="35">
        <f t="shared" si="3"/>
        <v>0</v>
      </c>
      <c r="J9" s="36" t="e">
        <f t="shared" si="4"/>
        <v>#DIV/0!</v>
      </c>
      <c r="K9" s="20"/>
      <c r="L9" s="20"/>
      <c r="M9" s="20"/>
      <c r="N9" s="20"/>
      <c r="O9" s="20"/>
      <c r="P9" s="20"/>
      <c r="Q9" s="20"/>
      <c r="R9" s="20"/>
      <c r="S9" s="20"/>
      <c r="T9" s="20"/>
      <c r="U9" s="20"/>
      <c r="V9" s="20"/>
    </row>
    <row r="10" spans="1:22" x14ac:dyDescent="0.25">
      <c r="A10" s="2" t="s">
        <v>9</v>
      </c>
      <c r="B10" s="14"/>
      <c r="C10" s="21"/>
      <c r="D10" s="30">
        <f>B10+C10</f>
        <v>0</v>
      </c>
      <c r="E10" s="22">
        <v>0</v>
      </c>
      <c r="F10" s="32">
        <f t="shared" si="1"/>
        <v>0</v>
      </c>
      <c r="G10" s="33" t="e">
        <f t="shared" si="2"/>
        <v>#DIV/0!</v>
      </c>
      <c r="H10" s="23"/>
      <c r="I10" s="35">
        <f t="shared" si="3"/>
        <v>0</v>
      </c>
      <c r="J10" s="36" t="e">
        <f t="shared" si="4"/>
        <v>#DIV/0!</v>
      </c>
      <c r="K10" s="20" t="s">
        <v>65</v>
      </c>
      <c r="L10" s="20"/>
      <c r="M10" s="20"/>
      <c r="N10" s="20"/>
      <c r="O10" s="20"/>
      <c r="P10" s="20"/>
      <c r="Q10" s="20"/>
      <c r="R10" s="20"/>
      <c r="S10" s="20"/>
      <c r="T10" s="20"/>
      <c r="U10" s="20"/>
      <c r="V10" s="20"/>
    </row>
    <row r="11" spans="1:22" ht="30" x14ac:dyDescent="0.25">
      <c r="A11" s="2" t="s">
        <v>10</v>
      </c>
      <c r="B11" s="14">
        <f>-55953.8+-56878.12+-9496.52</f>
        <v>-122328.44000000002</v>
      </c>
      <c r="C11" s="21"/>
      <c r="D11" s="30">
        <f>B11+C11</f>
        <v>-122328.44000000002</v>
      </c>
      <c r="E11" s="22">
        <v>-130102.39</v>
      </c>
      <c r="F11" s="32">
        <f t="shared" si="1"/>
        <v>-7773.9499999999825</v>
      </c>
      <c r="G11" s="33">
        <f t="shared" si="2"/>
        <v>94.024744664567677</v>
      </c>
      <c r="H11" s="23">
        <v>-212000</v>
      </c>
      <c r="I11" s="35">
        <f t="shared" si="3"/>
        <v>81897.61</v>
      </c>
      <c r="J11" s="36">
        <f t="shared" si="4"/>
        <v>162.94858226662862</v>
      </c>
      <c r="K11" s="103" t="s">
        <v>80</v>
      </c>
      <c r="L11" s="103"/>
      <c r="M11" s="103"/>
      <c r="N11" s="103"/>
      <c r="O11" s="103"/>
      <c r="P11" s="103"/>
      <c r="Q11" s="103"/>
      <c r="R11" s="103"/>
      <c r="S11" s="103"/>
      <c r="T11" s="103"/>
      <c r="U11" s="103"/>
      <c r="V11" s="103"/>
    </row>
    <row r="12" spans="1:22" ht="30" x14ac:dyDescent="0.25">
      <c r="A12" s="2" t="s">
        <v>11</v>
      </c>
      <c r="B12" s="14">
        <f>-4422.67+-80</f>
        <v>-4502.67</v>
      </c>
      <c r="C12" s="21"/>
      <c r="D12" s="30">
        <f t="shared" si="0"/>
        <v>-4502.67</v>
      </c>
      <c r="E12" s="22">
        <v>-14339.34</v>
      </c>
      <c r="F12" s="32">
        <f t="shared" si="1"/>
        <v>-9836.67</v>
      </c>
      <c r="G12" s="33">
        <f t="shared" si="2"/>
        <v>31.400817610852378</v>
      </c>
      <c r="H12" s="23">
        <v>8510</v>
      </c>
      <c r="I12" s="35">
        <f t="shared" si="3"/>
        <v>-22849.34</v>
      </c>
      <c r="J12" s="36">
        <f t="shared" si="4"/>
        <v>-59.347222396567759</v>
      </c>
      <c r="K12" s="103" t="s">
        <v>81</v>
      </c>
      <c r="L12" s="103"/>
      <c r="M12" s="103"/>
      <c r="N12" s="103"/>
      <c r="O12" s="103"/>
      <c r="P12" s="103"/>
      <c r="Q12" s="103"/>
      <c r="R12" s="103"/>
      <c r="S12" s="103"/>
      <c r="T12" s="103"/>
      <c r="U12" s="103"/>
      <c r="V12" s="103"/>
    </row>
    <row r="13" spans="1:22" x14ac:dyDescent="0.25">
      <c r="A13" s="2"/>
      <c r="B13" s="14"/>
      <c r="C13" s="21"/>
      <c r="D13" s="30"/>
      <c r="E13" s="22"/>
      <c r="F13" s="32"/>
      <c r="G13" s="33"/>
      <c r="H13" s="23"/>
      <c r="I13" s="35"/>
      <c r="J13" s="36"/>
      <c r="K13" s="20"/>
      <c r="L13" s="20"/>
      <c r="M13" s="20"/>
      <c r="N13" s="20"/>
      <c r="O13" s="20"/>
      <c r="P13" s="20"/>
      <c r="Q13" s="20"/>
      <c r="R13" s="20"/>
      <c r="S13" s="20"/>
      <c r="T13" s="20"/>
      <c r="U13" s="20"/>
      <c r="V13" s="20"/>
    </row>
    <row r="14" spans="1:22" x14ac:dyDescent="0.25">
      <c r="A14" s="12" t="s">
        <v>53</v>
      </c>
      <c r="B14" s="9"/>
      <c r="C14" s="9"/>
      <c r="D14" s="15">
        <f>SUM(D7:D13)</f>
        <v>-665307.84000000008</v>
      </c>
      <c r="E14" s="15">
        <f>SUM(E7:E13)</f>
        <v>-667288.73</v>
      </c>
      <c r="F14" s="9"/>
      <c r="G14" s="38">
        <f t="shared" si="2"/>
        <v>99.703143495320262</v>
      </c>
      <c r="H14" s="15">
        <f>SUM(H7:H13)</f>
        <v>-726337</v>
      </c>
      <c r="I14" s="9">
        <f t="shared" si="3"/>
        <v>59048.270000000019</v>
      </c>
      <c r="J14" s="38">
        <f t="shared" si="4"/>
        <v>108.84898355768725</v>
      </c>
      <c r="K14" s="104" t="s">
        <v>57</v>
      </c>
      <c r="L14" s="104"/>
      <c r="M14" s="104"/>
      <c r="N14" s="104"/>
      <c r="O14" s="104"/>
      <c r="P14" s="104"/>
      <c r="Q14" s="104"/>
      <c r="R14" s="104"/>
      <c r="S14" s="104"/>
      <c r="T14" s="104"/>
      <c r="U14" s="104"/>
      <c r="V14" s="104"/>
    </row>
    <row r="15" spans="1:22" x14ac:dyDescent="0.25">
      <c r="A15" s="13" t="s">
        <v>58</v>
      </c>
      <c r="B15" s="38">
        <f>SUM(B6:B13)</f>
        <v>-913375.84000000008</v>
      </c>
      <c r="C15" s="9">
        <f>SUM(C6:C13)</f>
        <v>0</v>
      </c>
      <c r="D15" s="9">
        <f t="shared" si="0"/>
        <v>-913375.84000000008</v>
      </c>
      <c r="E15" s="15">
        <f>SUM(E6:E13)</f>
        <v>-915356.73</v>
      </c>
      <c r="F15" s="9">
        <f t="shared" si="1"/>
        <v>-1980.8899999998976</v>
      </c>
      <c r="G15" s="38">
        <f t="shared" si="2"/>
        <v>99.783593659709041</v>
      </c>
      <c r="H15" s="15">
        <f>SUM(H6:H13)</f>
        <v>-974405</v>
      </c>
      <c r="I15" s="9">
        <f t="shared" si="3"/>
        <v>59048.270000000019</v>
      </c>
      <c r="J15" s="38">
        <f t="shared" si="4"/>
        <v>106.4508478568787</v>
      </c>
      <c r="K15" s="20" t="s">
        <v>59</v>
      </c>
      <c r="L15" s="20"/>
      <c r="M15" s="20"/>
      <c r="N15" s="20"/>
      <c r="O15" s="20"/>
      <c r="P15" s="20"/>
      <c r="Q15" s="20"/>
      <c r="R15" s="20"/>
      <c r="S15" s="20"/>
      <c r="T15" s="20"/>
      <c r="U15" s="20"/>
      <c r="V15" s="20"/>
    </row>
    <row r="16" spans="1:22" x14ac:dyDescent="0.25">
      <c r="A16" s="5"/>
      <c r="B16" s="7"/>
      <c r="C16" s="7"/>
      <c r="D16" s="7"/>
      <c r="E16" s="16"/>
      <c r="F16" s="7"/>
      <c r="G16" s="37"/>
      <c r="H16" s="16"/>
      <c r="I16" s="7"/>
      <c r="J16" s="37"/>
      <c r="K16" s="20"/>
      <c r="L16" s="20"/>
      <c r="M16" s="20"/>
      <c r="N16" s="20"/>
      <c r="O16" s="20"/>
      <c r="P16" s="20"/>
      <c r="Q16" s="20"/>
      <c r="R16" s="20"/>
      <c r="S16" s="20"/>
      <c r="T16" s="20"/>
      <c r="U16" s="20"/>
      <c r="V16" s="20"/>
    </row>
    <row r="17" spans="1:22" x14ac:dyDescent="0.25">
      <c r="A17" s="6" t="s">
        <v>72</v>
      </c>
      <c r="B17" s="14">
        <f>2481.29+1192</f>
        <v>3673.29</v>
      </c>
      <c r="C17" s="21"/>
      <c r="D17" s="30">
        <f t="shared" si="0"/>
        <v>3673.29</v>
      </c>
      <c r="E17" s="22">
        <v>3867.87</v>
      </c>
      <c r="F17" s="32">
        <f t="shared" si="1"/>
        <v>194.57999999999993</v>
      </c>
      <c r="G17" s="33">
        <f t="shared" si="2"/>
        <v>94.969324201692402</v>
      </c>
      <c r="H17" s="23">
        <v>3867.87</v>
      </c>
      <c r="I17" s="35">
        <f t="shared" si="3"/>
        <v>0</v>
      </c>
      <c r="J17" s="36">
        <f t="shared" si="4"/>
        <v>100</v>
      </c>
      <c r="K17" s="104" t="s">
        <v>60</v>
      </c>
      <c r="L17" s="104"/>
      <c r="M17" s="104"/>
      <c r="N17" s="104"/>
      <c r="O17" s="104"/>
      <c r="P17" s="104"/>
      <c r="Q17" s="104"/>
      <c r="R17" s="104"/>
      <c r="S17" s="104"/>
      <c r="T17" s="104"/>
      <c r="U17" s="104"/>
      <c r="V17" s="104"/>
    </row>
    <row r="18" spans="1:22" x14ac:dyDescent="0.25">
      <c r="A18" s="6" t="s">
        <v>73</v>
      </c>
      <c r="B18" s="14"/>
      <c r="C18" s="21"/>
      <c r="D18" s="30">
        <f t="shared" si="0"/>
        <v>0</v>
      </c>
      <c r="E18" s="22">
        <v>3576</v>
      </c>
      <c r="F18" s="32">
        <f t="shared" si="1"/>
        <v>3576</v>
      </c>
      <c r="G18" s="33">
        <f t="shared" si="2"/>
        <v>0</v>
      </c>
      <c r="H18" s="23">
        <v>3576</v>
      </c>
      <c r="I18" s="35">
        <f t="shared" si="3"/>
        <v>0</v>
      </c>
      <c r="J18" s="36">
        <f t="shared" si="4"/>
        <v>100</v>
      </c>
      <c r="K18" s="104" t="s">
        <v>50</v>
      </c>
      <c r="L18" s="104"/>
      <c r="M18" s="104"/>
      <c r="N18" s="104"/>
      <c r="O18" s="104"/>
      <c r="P18" s="104"/>
      <c r="Q18" s="104"/>
      <c r="R18" s="104"/>
      <c r="S18" s="104"/>
      <c r="T18" s="104"/>
      <c r="U18" s="104"/>
      <c r="V18" s="104"/>
    </row>
    <row r="19" spans="1:22" x14ac:dyDescent="0.25">
      <c r="A19" s="5" t="s">
        <v>14</v>
      </c>
      <c r="B19" s="7"/>
      <c r="C19" s="7"/>
      <c r="D19" s="7"/>
      <c r="E19" s="16"/>
      <c r="F19" s="7"/>
      <c r="G19" s="37"/>
      <c r="H19" s="16"/>
      <c r="I19" s="7"/>
      <c r="J19" s="37"/>
      <c r="K19" s="20"/>
      <c r="L19" s="20"/>
      <c r="M19" s="20"/>
      <c r="N19" s="20"/>
      <c r="O19" s="20"/>
      <c r="P19" s="20"/>
      <c r="Q19" s="20"/>
      <c r="R19" s="20"/>
      <c r="S19" s="20"/>
      <c r="T19" s="20"/>
      <c r="U19" s="20"/>
      <c r="V19" s="20"/>
    </row>
    <row r="20" spans="1:22" x14ac:dyDescent="0.25">
      <c r="A20" s="2" t="s">
        <v>15</v>
      </c>
      <c r="B20" s="14">
        <f>96032.9+10572.53+10630.14+15939.44</f>
        <v>133175.00999999998</v>
      </c>
      <c r="C20" s="21"/>
      <c r="D20" s="30">
        <f t="shared" si="0"/>
        <v>133175.00999999998</v>
      </c>
      <c r="E20" s="22">
        <v>200000</v>
      </c>
      <c r="F20" s="32">
        <f t="shared" si="1"/>
        <v>66824.99000000002</v>
      </c>
      <c r="G20" s="33">
        <f t="shared" si="2"/>
        <v>66.587504999999993</v>
      </c>
      <c r="H20" s="23">
        <v>166468</v>
      </c>
      <c r="I20" s="35">
        <f t="shared" si="3"/>
        <v>33532</v>
      </c>
      <c r="J20" s="36">
        <f t="shared" si="4"/>
        <v>83.233999999999995</v>
      </c>
      <c r="K20" s="20" t="s">
        <v>61</v>
      </c>
      <c r="L20" s="20"/>
      <c r="M20" s="20"/>
      <c r="N20" s="20"/>
      <c r="O20" s="20"/>
      <c r="P20" s="20"/>
      <c r="Q20" s="20"/>
      <c r="R20" s="20"/>
      <c r="S20" s="20"/>
      <c r="T20" s="20"/>
      <c r="U20" s="20"/>
      <c r="V20" s="20"/>
    </row>
    <row r="21" spans="1:22" x14ac:dyDescent="0.25">
      <c r="A21" s="2" t="s">
        <v>16</v>
      </c>
      <c r="B21" s="14">
        <f>31976.64+2974+5401.02+3532.62+3120.06+3378.79</f>
        <v>50383.130000000005</v>
      </c>
      <c r="C21" s="21"/>
      <c r="D21" s="30">
        <f t="shared" si="0"/>
        <v>50383.130000000005</v>
      </c>
      <c r="E21" s="22">
        <v>66000</v>
      </c>
      <c r="F21" s="32">
        <f t="shared" si="1"/>
        <v>15616.869999999995</v>
      </c>
      <c r="G21" s="33">
        <f t="shared" si="2"/>
        <v>76.338075757575766</v>
      </c>
      <c r="H21" s="23">
        <v>62978.91</v>
      </c>
      <c r="I21" s="35">
        <f t="shared" si="3"/>
        <v>3021.0899999999965</v>
      </c>
      <c r="J21" s="36">
        <f t="shared" si="4"/>
        <v>95.422590909090914</v>
      </c>
      <c r="K21" s="20" t="s">
        <v>61</v>
      </c>
      <c r="L21" s="20"/>
      <c r="M21" s="20"/>
      <c r="N21" s="20"/>
      <c r="O21" s="20"/>
      <c r="P21" s="20"/>
      <c r="Q21" s="20"/>
      <c r="R21" s="20"/>
      <c r="S21" s="20"/>
      <c r="T21" s="20"/>
      <c r="U21" s="20"/>
      <c r="V21" s="20"/>
    </row>
    <row r="22" spans="1:22" x14ac:dyDescent="0.25">
      <c r="A22" s="2" t="s">
        <v>17</v>
      </c>
      <c r="B22" s="14">
        <f>3230.32+632.68+718.63</f>
        <v>4581.63</v>
      </c>
      <c r="C22" s="21"/>
      <c r="D22" s="30">
        <f t="shared" si="0"/>
        <v>4581.63</v>
      </c>
      <c r="E22" s="22">
        <v>2000</v>
      </c>
      <c r="F22" s="32">
        <f t="shared" si="1"/>
        <v>-2581.63</v>
      </c>
      <c r="G22" s="33">
        <f t="shared" si="2"/>
        <v>229.08150000000001</v>
      </c>
      <c r="H22" s="23">
        <v>5000</v>
      </c>
      <c r="I22" s="35">
        <f t="shared" si="3"/>
        <v>-3000</v>
      </c>
      <c r="J22" s="36">
        <f t="shared" si="4"/>
        <v>250</v>
      </c>
      <c r="K22" s="20"/>
      <c r="L22" s="20"/>
      <c r="M22" s="20"/>
      <c r="N22" s="20"/>
      <c r="O22" s="20"/>
      <c r="P22" s="20"/>
      <c r="Q22" s="20"/>
      <c r="R22" s="20"/>
      <c r="S22" s="20"/>
      <c r="T22" s="20"/>
      <c r="U22" s="20"/>
      <c r="V22" s="20"/>
    </row>
    <row r="23" spans="1:22" x14ac:dyDescent="0.25">
      <c r="A23" s="5" t="s">
        <v>82</v>
      </c>
      <c r="B23" s="7"/>
      <c r="C23" s="7"/>
      <c r="D23" s="7"/>
      <c r="E23" s="16"/>
      <c r="F23" s="7"/>
      <c r="G23" s="37"/>
      <c r="H23" s="16"/>
      <c r="I23" s="7"/>
      <c r="J23" s="37"/>
      <c r="K23" s="20"/>
      <c r="L23" s="20"/>
      <c r="M23" s="20"/>
      <c r="N23" s="20"/>
      <c r="O23" s="20"/>
      <c r="P23" s="20"/>
      <c r="Q23" s="20"/>
      <c r="R23" s="20"/>
      <c r="S23" s="20"/>
      <c r="T23" s="20"/>
      <c r="U23" s="20"/>
      <c r="V23" s="20"/>
    </row>
    <row r="24" spans="1:22" ht="30" x14ac:dyDescent="0.25">
      <c r="A24" s="6" t="s">
        <v>39</v>
      </c>
      <c r="B24" s="14"/>
      <c r="C24" s="21"/>
      <c r="D24" s="30">
        <f t="shared" si="0"/>
        <v>0</v>
      </c>
      <c r="E24" s="22">
        <v>20500</v>
      </c>
      <c r="F24" s="32">
        <f t="shared" si="1"/>
        <v>20500</v>
      </c>
      <c r="G24" s="33">
        <f t="shared" si="2"/>
        <v>0</v>
      </c>
      <c r="H24" s="23">
        <v>20500</v>
      </c>
      <c r="I24" s="35">
        <f t="shared" si="3"/>
        <v>0</v>
      </c>
      <c r="J24" s="36">
        <f t="shared" si="4"/>
        <v>100</v>
      </c>
      <c r="K24" s="103" t="s">
        <v>84</v>
      </c>
      <c r="L24" s="103"/>
      <c r="M24" s="103"/>
      <c r="N24" s="103"/>
      <c r="O24" s="103"/>
      <c r="P24" s="103"/>
      <c r="Q24" s="103"/>
      <c r="R24" s="103"/>
      <c r="S24" s="103"/>
      <c r="T24" s="103"/>
      <c r="U24" s="103"/>
      <c r="V24" s="103"/>
    </row>
    <row r="25" spans="1:22" x14ac:dyDescent="0.25">
      <c r="A25" s="2" t="s">
        <v>18</v>
      </c>
      <c r="B25" s="14"/>
      <c r="C25" s="21"/>
      <c r="D25" s="30">
        <f t="shared" si="0"/>
        <v>0</v>
      </c>
      <c r="E25" s="22">
        <v>0</v>
      </c>
      <c r="F25" s="32">
        <f t="shared" si="1"/>
        <v>0</v>
      </c>
      <c r="G25" s="33" t="e">
        <f t="shared" si="2"/>
        <v>#DIV/0!</v>
      </c>
      <c r="H25" s="23"/>
      <c r="I25" s="35">
        <f t="shared" si="3"/>
        <v>0</v>
      </c>
      <c r="J25" s="36" t="e">
        <f t="shared" si="4"/>
        <v>#DIV/0!</v>
      </c>
      <c r="K25" s="20" t="s">
        <v>62</v>
      </c>
      <c r="L25" s="20"/>
      <c r="M25" s="20"/>
      <c r="N25" s="20"/>
      <c r="O25" s="20"/>
      <c r="P25" s="20"/>
      <c r="Q25" s="20"/>
      <c r="R25" s="20"/>
      <c r="S25" s="20"/>
      <c r="T25" s="20"/>
      <c r="U25" s="20"/>
      <c r="V25" s="20"/>
    </row>
    <row r="26" spans="1:22" x14ac:dyDescent="0.25">
      <c r="A26" s="2" t="s">
        <v>19</v>
      </c>
      <c r="B26" s="14"/>
      <c r="C26" s="21"/>
      <c r="D26" s="30">
        <f t="shared" si="0"/>
        <v>0</v>
      </c>
      <c r="E26" s="22">
        <v>0</v>
      </c>
      <c r="F26" s="32">
        <f t="shared" si="1"/>
        <v>0</v>
      </c>
      <c r="G26" s="33" t="e">
        <f t="shared" si="2"/>
        <v>#DIV/0!</v>
      </c>
      <c r="H26" s="23"/>
      <c r="I26" s="35">
        <f t="shared" si="3"/>
        <v>0</v>
      </c>
      <c r="J26" s="36" t="e">
        <f t="shared" si="4"/>
        <v>#DIV/0!</v>
      </c>
      <c r="K26" s="20"/>
      <c r="L26" s="20"/>
      <c r="M26" s="20"/>
      <c r="N26" s="20"/>
      <c r="O26" s="20"/>
      <c r="P26" s="20"/>
      <c r="Q26" s="20"/>
      <c r="R26" s="20"/>
      <c r="S26" s="20"/>
      <c r="T26" s="20"/>
      <c r="U26" s="20"/>
      <c r="V26" s="20"/>
    </row>
    <row r="27" spans="1:22" x14ac:dyDescent="0.25">
      <c r="A27" s="2" t="s">
        <v>75</v>
      </c>
      <c r="B27" s="14"/>
      <c r="C27" s="21"/>
      <c r="D27" s="30">
        <f t="shared" si="0"/>
        <v>0</v>
      </c>
      <c r="E27" s="22">
        <v>0</v>
      </c>
      <c r="F27" s="32">
        <f t="shared" si="1"/>
        <v>0</v>
      </c>
      <c r="G27" s="33" t="e">
        <f t="shared" si="2"/>
        <v>#DIV/0!</v>
      </c>
      <c r="H27" s="23"/>
      <c r="I27" s="35">
        <f t="shared" si="3"/>
        <v>0</v>
      </c>
      <c r="J27" s="36" t="e">
        <f t="shared" si="4"/>
        <v>#DIV/0!</v>
      </c>
      <c r="K27" s="20" t="s">
        <v>83</v>
      </c>
      <c r="L27" s="20"/>
      <c r="M27" s="20"/>
      <c r="N27" s="20"/>
      <c r="O27" s="20"/>
      <c r="P27" s="20"/>
      <c r="Q27" s="20"/>
      <c r="R27" s="20"/>
      <c r="S27" s="20"/>
      <c r="T27" s="20"/>
      <c r="U27" s="20"/>
      <c r="V27" s="20"/>
    </row>
    <row r="28" spans="1:22" x14ac:dyDescent="0.25">
      <c r="A28" s="2" t="s">
        <v>12</v>
      </c>
      <c r="B28" s="14">
        <f>-1633.52+824.98+488.72+1081.86</f>
        <v>762.04</v>
      </c>
      <c r="C28" s="21"/>
      <c r="D28" s="30">
        <f t="shared" si="0"/>
        <v>762.04</v>
      </c>
      <c r="E28" s="22">
        <v>2000</v>
      </c>
      <c r="F28" s="32">
        <f t="shared" si="1"/>
        <v>1237.96</v>
      </c>
      <c r="G28" s="33">
        <f t="shared" si="2"/>
        <v>38.101999999999997</v>
      </c>
      <c r="H28" s="23">
        <v>2000</v>
      </c>
      <c r="I28" s="35">
        <f t="shared" si="3"/>
        <v>0</v>
      </c>
      <c r="J28" s="36">
        <f t="shared" si="4"/>
        <v>100</v>
      </c>
      <c r="K28" s="20" t="s">
        <v>78</v>
      </c>
      <c r="L28" s="20"/>
      <c r="M28" s="20"/>
      <c r="N28" s="20"/>
      <c r="O28" s="20"/>
      <c r="P28" s="20"/>
      <c r="Q28" s="20"/>
      <c r="R28" s="20"/>
      <c r="S28" s="20"/>
      <c r="T28" s="20"/>
      <c r="U28" s="20"/>
      <c r="V28" s="20"/>
    </row>
    <row r="29" spans="1:22" x14ac:dyDescent="0.25">
      <c r="A29" s="5" t="s">
        <v>30</v>
      </c>
      <c r="B29" s="7"/>
      <c r="C29" s="7"/>
      <c r="D29" s="7"/>
      <c r="E29" s="16"/>
      <c r="F29" s="7"/>
      <c r="G29" s="37"/>
      <c r="H29" s="16"/>
      <c r="I29" s="7"/>
      <c r="J29" s="37"/>
      <c r="K29" s="20"/>
      <c r="L29" s="20"/>
      <c r="M29" s="20"/>
      <c r="N29" s="20"/>
      <c r="O29" s="20"/>
      <c r="P29" s="20"/>
      <c r="Q29" s="20"/>
      <c r="R29" s="20"/>
      <c r="S29" s="20"/>
      <c r="T29" s="20"/>
      <c r="U29" s="20"/>
      <c r="V29" s="20"/>
    </row>
    <row r="30" spans="1:22" ht="60" x14ac:dyDescent="0.25">
      <c r="A30" s="2" t="s">
        <v>20</v>
      </c>
      <c r="B30" s="14">
        <f>18156+2683+781.5</f>
        <v>21620.5</v>
      </c>
      <c r="C30" s="21"/>
      <c r="D30" s="30">
        <f t="shared" si="0"/>
        <v>21620.5</v>
      </c>
      <c r="E30" s="22">
        <v>15000</v>
      </c>
      <c r="F30" s="32">
        <f t="shared" si="1"/>
        <v>-6620.5</v>
      </c>
      <c r="G30" s="33">
        <f t="shared" si="2"/>
        <v>144.13666666666666</v>
      </c>
      <c r="H30" s="23">
        <v>26000</v>
      </c>
      <c r="I30" s="35">
        <f t="shared" si="3"/>
        <v>-11000</v>
      </c>
      <c r="J30" s="36">
        <f t="shared" si="4"/>
        <v>173.33333333333334</v>
      </c>
      <c r="K30" s="103" t="s">
        <v>63</v>
      </c>
      <c r="L30" s="103"/>
      <c r="M30" s="103"/>
      <c r="N30" s="103"/>
      <c r="O30" s="103"/>
      <c r="P30" s="103"/>
      <c r="Q30" s="103"/>
      <c r="R30" s="103"/>
      <c r="S30" s="103"/>
      <c r="T30" s="103"/>
      <c r="U30" s="103"/>
      <c r="V30" s="103"/>
    </row>
    <row r="31" spans="1:22" x14ac:dyDescent="0.25">
      <c r="A31" s="3" t="s">
        <v>21</v>
      </c>
      <c r="B31" s="14"/>
      <c r="C31" s="21"/>
      <c r="D31" s="30">
        <f t="shared" si="0"/>
        <v>0</v>
      </c>
      <c r="E31" s="22"/>
      <c r="F31" s="32">
        <f t="shared" si="1"/>
        <v>0</v>
      </c>
      <c r="G31" s="33" t="e">
        <f t="shared" si="2"/>
        <v>#DIV/0!</v>
      </c>
      <c r="H31" s="23"/>
      <c r="I31" s="35">
        <f t="shared" si="3"/>
        <v>0</v>
      </c>
      <c r="J31" s="36" t="e">
        <f t="shared" si="4"/>
        <v>#DIV/0!</v>
      </c>
      <c r="K31" s="103" t="s">
        <v>64</v>
      </c>
      <c r="L31" s="20"/>
      <c r="M31" s="20"/>
      <c r="N31" s="20"/>
      <c r="O31" s="20"/>
      <c r="P31" s="20"/>
      <c r="Q31" s="20"/>
      <c r="R31" s="20"/>
      <c r="S31" s="20"/>
      <c r="T31" s="20"/>
      <c r="U31" s="20"/>
      <c r="V31" s="20"/>
    </row>
    <row r="32" spans="1:22" x14ac:dyDescent="0.25">
      <c r="A32" s="3" t="s">
        <v>22</v>
      </c>
      <c r="B32" s="14"/>
      <c r="C32" s="21"/>
      <c r="D32" s="30">
        <f t="shared" si="0"/>
        <v>0</v>
      </c>
      <c r="E32" s="22"/>
      <c r="F32" s="32">
        <f t="shared" si="1"/>
        <v>0</v>
      </c>
      <c r="G32" s="33" t="e">
        <f t="shared" si="2"/>
        <v>#DIV/0!</v>
      </c>
      <c r="H32" s="23"/>
      <c r="I32" s="35">
        <f t="shared" si="3"/>
        <v>0</v>
      </c>
      <c r="J32" s="36" t="e">
        <f t="shared" si="4"/>
        <v>#DIV/0!</v>
      </c>
      <c r="K32" s="103"/>
      <c r="L32" s="20"/>
      <c r="M32" s="20"/>
      <c r="N32" s="20"/>
      <c r="O32" s="20"/>
      <c r="P32" s="20"/>
      <c r="Q32" s="20"/>
      <c r="R32" s="20"/>
      <c r="S32" s="20"/>
      <c r="T32" s="20"/>
      <c r="U32" s="20"/>
      <c r="V32" s="20"/>
    </row>
    <row r="33" spans="1:22" x14ac:dyDescent="0.25">
      <c r="A33" s="3" t="s">
        <v>23</v>
      </c>
      <c r="B33" s="14"/>
      <c r="C33" s="21"/>
      <c r="D33" s="30">
        <f t="shared" si="0"/>
        <v>0</v>
      </c>
      <c r="E33" s="22"/>
      <c r="F33" s="32">
        <f t="shared" si="1"/>
        <v>0</v>
      </c>
      <c r="G33" s="33" t="e">
        <f t="shared" si="2"/>
        <v>#DIV/0!</v>
      </c>
      <c r="H33" s="23"/>
      <c r="I33" s="35">
        <f t="shared" si="3"/>
        <v>0</v>
      </c>
      <c r="J33" s="36" t="e">
        <f t="shared" si="4"/>
        <v>#DIV/0!</v>
      </c>
      <c r="K33" s="103"/>
      <c r="L33" s="20"/>
      <c r="M33" s="20"/>
      <c r="N33" s="20"/>
      <c r="O33" s="20"/>
      <c r="P33" s="20"/>
      <c r="Q33" s="20"/>
      <c r="R33" s="20"/>
      <c r="S33" s="20"/>
      <c r="T33" s="20"/>
      <c r="U33" s="20"/>
      <c r="V33" s="20"/>
    </row>
    <row r="34" spans="1:22" x14ac:dyDescent="0.25">
      <c r="A34" s="3" t="s">
        <v>24</v>
      </c>
      <c r="B34" s="14"/>
      <c r="C34" s="21"/>
      <c r="D34" s="30">
        <f t="shared" si="0"/>
        <v>0</v>
      </c>
      <c r="E34" s="22"/>
      <c r="F34" s="32">
        <f t="shared" si="1"/>
        <v>0</v>
      </c>
      <c r="G34" s="33" t="e">
        <f t="shared" si="2"/>
        <v>#DIV/0!</v>
      </c>
      <c r="H34" s="23"/>
      <c r="I34" s="35">
        <f t="shared" si="3"/>
        <v>0</v>
      </c>
      <c r="J34" s="36" t="e">
        <f t="shared" si="4"/>
        <v>#DIV/0!</v>
      </c>
      <c r="K34" s="103"/>
      <c r="L34" s="20"/>
      <c r="M34" s="20"/>
      <c r="N34" s="20"/>
      <c r="O34" s="20"/>
      <c r="P34" s="20"/>
      <c r="Q34" s="20"/>
      <c r="R34" s="20"/>
      <c r="S34" s="20"/>
      <c r="T34" s="20"/>
      <c r="U34" s="20"/>
      <c r="V34" s="20"/>
    </row>
    <row r="35" spans="1:22" x14ac:dyDescent="0.25">
      <c r="A35" s="3" t="s">
        <v>25</v>
      </c>
      <c r="B35" s="14"/>
      <c r="C35" s="21"/>
      <c r="D35" s="30">
        <f t="shared" si="0"/>
        <v>0</v>
      </c>
      <c r="E35" s="22"/>
      <c r="F35" s="32">
        <f t="shared" si="1"/>
        <v>0</v>
      </c>
      <c r="G35" s="33" t="e">
        <f t="shared" si="2"/>
        <v>#DIV/0!</v>
      </c>
      <c r="H35" s="23"/>
      <c r="I35" s="35">
        <f t="shared" si="3"/>
        <v>0</v>
      </c>
      <c r="J35" s="36" t="e">
        <f t="shared" si="4"/>
        <v>#DIV/0!</v>
      </c>
      <c r="K35" s="103"/>
      <c r="L35" s="20"/>
      <c r="M35" s="20"/>
      <c r="N35" s="20"/>
      <c r="O35" s="20"/>
      <c r="P35" s="20"/>
      <c r="Q35" s="20"/>
      <c r="R35" s="20"/>
      <c r="S35" s="20"/>
      <c r="T35" s="20"/>
      <c r="U35" s="20"/>
      <c r="V35" s="20"/>
    </row>
    <row r="36" spans="1:22" x14ac:dyDescent="0.25">
      <c r="A36" s="5" t="s">
        <v>31</v>
      </c>
      <c r="B36" s="16"/>
      <c r="C36" s="16"/>
      <c r="D36" s="7"/>
      <c r="E36" s="16"/>
      <c r="F36" s="7"/>
      <c r="G36" s="37"/>
      <c r="H36" s="16"/>
      <c r="I36" s="7"/>
      <c r="J36" s="37"/>
      <c r="K36" s="103"/>
      <c r="L36" s="20"/>
      <c r="M36" s="20"/>
      <c r="N36" s="20"/>
      <c r="O36" s="20"/>
      <c r="P36" s="20"/>
      <c r="Q36" s="20"/>
      <c r="R36" s="20"/>
      <c r="S36" s="20"/>
      <c r="T36" s="20"/>
      <c r="U36" s="20"/>
      <c r="V36" s="20"/>
    </row>
    <row r="37" spans="1:22" x14ac:dyDescent="0.25">
      <c r="A37" s="2" t="s">
        <v>26</v>
      </c>
      <c r="B37" s="14"/>
      <c r="C37" s="21"/>
      <c r="D37" s="30">
        <f t="shared" si="0"/>
        <v>0</v>
      </c>
      <c r="E37" s="22">
        <v>0</v>
      </c>
      <c r="F37" s="32">
        <f t="shared" si="1"/>
        <v>0</v>
      </c>
      <c r="G37" s="33" t="e">
        <f t="shared" si="2"/>
        <v>#DIV/0!</v>
      </c>
      <c r="H37" s="23"/>
      <c r="I37" s="35">
        <f t="shared" si="3"/>
        <v>0</v>
      </c>
      <c r="J37" s="36" t="e">
        <f t="shared" si="4"/>
        <v>#DIV/0!</v>
      </c>
      <c r="K37" s="20" t="s">
        <v>66</v>
      </c>
      <c r="L37" s="20"/>
      <c r="M37" s="20"/>
      <c r="N37" s="20"/>
      <c r="O37" s="20"/>
      <c r="P37" s="20"/>
      <c r="Q37" s="20"/>
      <c r="R37" s="20"/>
      <c r="S37" s="20"/>
      <c r="T37" s="20"/>
      <c r="U37" s="20"/>
      <c r="V37" s="20"/>
    </row>
    <row r="38" spans="1:22" x14ac:dyDescent="0.25">
      <c r="A38" s="2" t="s">
        <v>27</v>
      </c>
      <c r="B38" s="14"/>
      <c r="C38" s="21"/>
      <c r="D38" s="30">
        <f t="shared" si="0"/>
        <v>0</v>
      </c>
      <c r="E38" s="22">
        <v>0</v>
      </c>
      <c r="F38" s="32">
        <f t="shared" si="1"/>
        <v>0</v>
      </c>
      <c r="G38" s="33" t="e">
        <f t="shared" si="2"/>
        <v>#DIV/0!</v>
      </c>
      <c r="H38" s="23"/>
      <c r="I38" s="35">
        <f t="shared" si="3"/>
        <v>0</v>
      </c>
      <c r="J38" s="36" t="e">
        <f t="shared" si="4"/>
        <v>#DIV/0!</v>
      </c>
      <c r="K38" s="20" t="s">
        <v>74</v>
      </c>
      <c r="L38" s="20"/>
      <c r="M38" s="20"/>
      <c r="N38" s="20"/>
      <c r="O38" s="20"/>
      <c r="P38" s="20"/>
      <c r="Q38" s="20"/>
      <c r="R38" s="20"/>
      <c r="S38" s="20"/>
      <c r="T38" s="20"/>
      <c r="U38" s="20"/>
      <c r="V38" s="20"/>
    </row>
    <row r="39" spans="1:22" ht="18" customHeight="1" x14ac:dyDescent="0.25">
      <c r="A39" s="5" t="s">
        <v>32</v>
      </c>
      <c r="B39" s="7"/>
      <c r="C39" s="7"/>
      <c r="D39" s="7"/>
      <c r="E39" s="16"/>
      <c r="F39" s="7"/>
      <c r="G39" s="37"/>
      <c r="H39" s="16"/>
      <c r="I39" s="7"/>
      <c r="J39" s="37"/>
      <c r="K39" s="20"/>
      <c r="L39" s="20"/>
      <c r="M39" s="20"/>
      <c r="N39" s="20"/>
      <c r="O39" s="20"/>
      <c r="P39" s="20"/>
      <c r="Q39" s="20"/>
      <c r="R39" s="20"/>
      <c r="S39" s="20"/>
      <c r="T39" s="20"/>
      <c r="U39" s="20"/>
      <c r="V39" s="20"/>
    </row>
    <row r="40" spans="1:22" x14ac:dyDescent="0.25">
      <c r="A40" s="2" t="s">
        <v>28</v>
      </c>
      <c r="B40" s="14">
        <f>147572+46604.3+9253.4+20059.8</f>
        <v>223489.49999999997</v>
      </c>
      <c r="C40" s="21"/>
      <c r="D40" s="30">
        <f t="shared" si="0"/>
        <v>223489.49999999997</v>
      </c>
      <c r="E40" s="22">
        <v>319228</v>
      </c>
      <c r="F40" s="32">
        <f t="shared" si="1"/>
        <v>95738.500000000029</v>
      </c>
      <c r="G40" s="33">
        <f t="shared" si="2"/>
        <v>70.009366346310458</v>
      </c>
      <c r="H40" s="23">
        <v>328141</v>
      </c>
      <c r="I40" s="35">
        <f t="shared" si="3"/>
        <v>-8913</v>
      </c>
      <c r="J40" s="36">
        <f t="shared" si="4"/>
        <v>102.79204831656371</v>
      </c>
      <c r="K40" s="20" t="s">
        <v>67</v>
      </c>
      <c r="L40" s="20"/>
      <c r="M40" s="20"/>
      <c r="N40" s="20"/>
      <c r="O40" s="20"/>
      <c r="P40" s="20"/>
      <c r="Q40" s="20"/>
      <c r="R40" s="20"/>
      <c r="S40" s="20"/>
      <c r="T40" s="20"/>
      <c r="U40" s="20"/>
      <c r="V40" s="20"/>
    </row>
    <row r="41" spans="1:22" x14ac:dyDescent="0.25">
      <c r="A41" s="2" t="s">
        <v>29</v>
      </c>
      <c r="B41" s="14">
        <f>40184.4+7056+8285+6802</f>
        <v>62327.4</v>
      </c>
      <c r="C41" s="21"/>
      <c r="D41" s="30">
        <f t="shared" si="0"/>
        <v>62327.4</v>
      </c>
      <c r="E41" s="22">
        <v>94062</v>
      </c>
      <c r="F41" s="32">
        <f t="shared" si="1"/>
        <v>31734.6</v>
      </c>
      <c r="G41" s="33">
        <f t="shared" si="2"/>
        <v>66.262039931109271</v>
      </c>
      <c r="H41" s="23">
        <v>88336</v>
      </c>
      <c r="I41" s="35">
        <f t="shared" si="3"/>
        <v>5726</v>
      </c>
      <c r="J41" s="36">
        <f t="shared" si="4"/>
        <v>93.912525780867938</v>
      </c>
      <c r="K41" s="20" t="s">
        <v>68</v>
      </c>
      <c r="L41" s="20"/>
      <c r="M41" s="20"/>
      <c r="N41" s="20"/>
      <c r="O41" s="20"/>
      <c r="P41" s="20"/>
      <c r="Q41" s="20"/>
      <c r="R41" s="20"/>
      <c r="S41" s="20"/>
      <c r="T41" s="20"/>
      <c r="U41" s="20"/>
      <c r="V41" s="20"/>
    </row>
    <row r="42" spans="1:22" x14ac:dyDescent="0.25">
      <c r="A42" s="2" t="s">
        <v>76</v>
      </c>
      <c r="B42" s="14"/>
      <c r="C42" s="21"/>
      <c r="D42" s="30">
        <f t="shared" si="0"/>
        <v>0</v>
      </c>
      <c r="E42" s="22">
        <v>0</v>
      </c>
      <c r="F42" s="32">
        <f t="shared" si="1"/>
        <v>0</v>
      </c>
      <c r="G42" s="33" t="e">
        <f t="shared" si="2"/>
        <v>#DIV/0!</v>
      </c>
      <c r="H42" s="23">
        <v>0</v>
      </c>
      <c r="I42" s="35">
        <f t="shared" si="3"/>
        <v>0</v>
      </c>
      <c r="J42" s="36" t="e">
        <f t="shared" si="4"/>
        <v>#DIV/0!</v>
      </c>
      <c r="K42" s="20" t="s">
        <v>77</v>
      </c>
      <c r="L42" s="20"/>
      <c r="M42" s="20"/>
      <c r="N42" s="20"/>
      <c r="O42" s="20"/>
      <c r="P42" s="20"/>
      <c r="Q42" s="20"/>
      <c r="R42" s="20"/>
      <c r="S42" s="20"/>
      <c r="T42" s="20"/>
      <c r="U42" s="20"/>
      <c r="V42" s="20"/>
    </row>
    <row r="43" spans="1:22" x14ac:dyDescent="0.25">
      <c r="A43" s="2"/>
      <c r="B43" s="14"/>
      <c r="C43" s="21"/>
      <c r="D43" s="30"/>
      <c r="E43" s="22"/>
      <c r="F43" s="32"/>
      <c r="G43" s="33"/>
      <c r="H43" s="23">
        <v>5000</v>
      </c>
      <c r="I43" s="35"/>
      <c r="J43" s="36"/>
      <c r="K43" s="20"/>
      <c r="L43" s="20"/>
      <c r="M43" s="20"/>
      <c r="N43" s="20"/>
      <c r="O43" s="20"/>
      <c r="P43" s="20"/>
      <c r="Q43" s="20"/>
      <c r="R43" s="20"/>
      <c r="S43" s="20"/>
      <c r="T43" s="20"/>
      <c r="U43" s="20"/>
      <c r="V43" s="20"/>
    </row>
    <row r="44" spans="1:22" x14ac:dyDescent="0.25">
      <c r="A44" s="2" t="s">
        <v>36</v>
      </c>
      <c r="B44" s="8">
        <f>SUM(B17:B43)</f>
        <v>500012.5</v>
      </c>
      <c r="C44" s="8">
        <f t="shared" ref="C44:F44" si="5">SUM(C17:C43)</f>
        <v>0</v>
      </c>
      <c r="D44" s="15">
        <f t="shared" ref="D44" si="6">B44+C44</f>
        <v>500012.5</v>
      </c>
      <c r="E44" s="8">
        <f t="shared" si="5"/>
        <v>726233.87</v>
      </c>
      <c r="F44" s="18">
        <f t="shared" si="5"/>
        <v>226221.37000000005</v>
      </c>
      <c r="G44" s="17">
        <f t="shared" ref="G44" si="7">D44/E44%</f>
        <v>68.850066163947986</v>
      </c>
      <c r="H44" s="9">
        <f>SUM(H17:H43)</f>
        <v>711867.78</v>
      </c>
      <c r="I44" s="15">
        <f t="shared" ref="I44" si="8">E44-H44</f>
        <v>14366.089999999967</v>
      </c>
      <c r="J44" s="17">
        <f t="shared" ref="J44" si="9">H44/E44%</f>
        <v>98.02183696004154</v>
      </c>
      <c r="K44" s="20"/>
      <c r="L44" s="20"/>
      <c r="M44" s="20"/>
      <c r="N44" s="20"/>
      <c r="O44" s="20"/>
      <c r="P44" s="20"/>
      <c r="Q44" s="20"/>
      <c r="R44" s="20"/>
      <c r="S44" s="20"/>
      <c r="T44" s="20"/>
      <c r="U44" s="20"/>
      <c r="V44" s="20"/>
    </row>
    <row r="45" spans="1:22" x14ac:dyDescent="0.25">
      <c r="A45" s="1" t="s">
        <v>51</v>
      </c>
      <c r="B45" s="9"/>
      <c r="C45" s="9"/>
      <c r="D45" s="9">
        <f>D44+D14</f>
        <v>-165295.34000000008</v>
      </c>
      <c r="E45" s="9">
        <f>E44+E14</f>
        <v>58945.140000000014</v>
      </c>
      <c r="F45" s="9"/>
      <c r="G45" s="9"/>
      <c r="H45" s="9">
        <f>H44+H14</f>
        <v>-14469.219999999972</v>
      </c>
      <c r="I45" s="9"/>
      <c r="J45" s="9"/>
      <c r="K45" s="20"/>
      <c r="L45" s="20"/>
      <c r="M45" s="20"/>
      <c r="N45" s="20"/>
      <c r="O45" s="20"/>
      <c r="P45" s="20"/>
      <c r="Q45" s="20"/>
      <c r="R45" s="20"/>
      <c r="S45" s="20"/>
      <c r="T45" s="20"/>
      <c r="U45" s="20"/>
      <c r="V45" s="20"/>
    </row>
    <row r="46" spans="1:22" x14ac:dyDescent="0.25">
      <c r="A46" s="1" t="s">
        <v>52</v>
      </c>
      <c r="B46" s="9"/>
      <c r="C46" s="9"/>
      <c r="D46" s="9">
        <f>D44+D15</f>
        <v>-413363.34000000008</v>
      </c>
      <c r="E46" s="9">
        <f>E44+E15</f>
        <v>-189122.86</v>
      </c>
      <c r="F46" s="9"/>
      <c r="G46" s="9"/>
      <c r="H46" s="9">
        <f>H44+H15</f>
        <v>-262537.21999999997</v>
      </c>
      <c r="I46" s="9"/>
      <c r="J46" s="9"/>
      <c r="K46" s="20"/>
      <c r="L46" s="20"/>
      <c r="M46" s="20"/>
      <c r="N46" s="20"/>
      <c r="O46" s="20"/>
      <c r="P46" s="20"/>
      <c r="Q46" s="20"/>
      <c r="R46" s="20"/>
      <c r="S46" s="20"/>
      <c r="T46" s="20"/>
      <c r="U46" s="20"/>
      <c r="V46" s="20"/>
    </row>
    <row r="48" spans="1:22" x14ac:dyDescent="0.25">
      <c r="A48" s="1" t="s">
        <v>37</v>
      </c>
      <c r="D48" s="10"/>
      <c r="E48" s="10"/>
      <c r="F48" s="10"/>
      <c r="G48" s="11"/>
      <c r="H48" s="10"/>
      <c r="I48" s="10"/>
    </row>
    <row r="49" spans="1:10" x14ac:dyDescent="0.25">
      <c r="A49" s="1" t="s">
        <v>40</v>
      </c>
      <c r="B49" s="24">
        <f>D15</f>
        <v>-913375.84000000008</v>
      </c>
      <c r="G49"/>
      <c r="J49"/>
    </row>
    <row r="50" spans="1:10" x14ac:dyDescent="0.25">
      <c r="A50" s="1" t="s">
        <v>41</v>
      </c>
      <c r="B50" s="24">
        <f>D44</f>
        <v>500012.5</v>
      </c>
      <c r="G50"/>
      <c r="J50"/>
    </row>
    <row r="51" spans="1:10" x14ac:dyDescent="0.25">
      <c r="A51" s="1" t="s">
        <v>42</v>
      </c>
      <c r="B51" s="24">
        <f>H15</f>
        <v>-974405</v>
      </c>
    </row>
    <row r="52" spans="1:10" x14ac:dyDescent="0.25">
      <c r="A52" s="1" t="s">
        <v>71</v>
      </c>
      <c r="B52" s="24">
        <f>H44</f>
        <v>711867.78</v>
      </c>
    </row>
    <row r="53" spans="1:10" x14ac:dyDescent="0.25">
      <c r="A53" s="1" t="s">
        <v>43</v>
      </c>
      <c r="B53" s="24">
        <f>B51+B52</f>
        <v>-262537.21999999997</v>
      </c>
    </row>
    <row r="54" spans="1:10" x14ac:dyDescent="0.25">
      <c r="A54" s="1" t="s">
        <v>44</v>
      </c>
      <c r="B54" s="25">
        <f>B53/B7%</f>
        <v>58.881746330785511</v>
      </c>
    </row>
    <row r="55" spans="1:10" x14ac:dyDescent="0.25">
      <c r="A55" s="1" t="s">
        <v>45</v>
      </c>
      <c r="B55" s="25">
        <f>B53/B15%</f>
        <v>28.743613362928446</v>
      </c>
    </row>
    <row r="56" spans="1:10" x14ac:dyDescent="0.25">
      <c r="B56" s="19"/>
    </row>
    <row r="57" spans="1:10" x14ac:dyDescent="0.25">
      <c r="A57" s="1" t="s">
        <v>46</v>
      </c>
      <c r="B57" s="19"/>
    </row>
    <row r="58" spans="1:10" x14ac:dyDescent="0.25">
      <c r="B58" s="19"/>
    </row>
    <row r="59" spans="1:10" ht="30" x14ac:dyDescent="0.25">
      <c r="A59" s="1" t="s">
        <v>141</v>
      </c>
      <c r="B59" s="19">
        <v>10.4</v>
      </c>
    </row>
    <row r="60" spans="1:10" ht="30" x14ac:dyDescent="0.25">
      <c r="A60" s="1" t="s">
        <v>142</v>
      </c>
      <c r="B60" s="19">
        <v>24.52</v>
      </c>
    </row>
    <row r="61" spans="1:10" ht="30" x14ac:dyDescent="0.25">
      <c r="A61" s="1" t="s">
        <v>143</v>
      </c>
      <c r="B61" s="19">
        <v>31.52</v>
      </c>
    </row>
    <row r="62" spans="1:10" x14ac:dyDescent="0.25">
      <c r="A62" s="1" t="s">
        <v>47</v>
      </c>
      <c r="B62" s="25">
        <f>B59*(4/12)+ B60*(3/12)+B61*(5/12)</f>
        <v>22.73</v>
      </c>
    </row>
    <row r="63" spans="1:10" x14ac:dyDescent="0.25">
      <c r="A63" s="1" t="s">
        <v>69</v>
      </c>
      <c r="B63" s="25">
        <f>E44/B62</f>
        <v>31950.456225252969</v>
      </c>
    </row>
    <row r="64" spans="1:10" x14ac:dyDescent="0.25">
      <c r="A64" s="1" t="s">
        <v>70</v>
      </c>
      <c r="B64" s="24">
        <f>B44/B62</f>
        <v>21997.910250769906</v>
      </c>
    </row>
    <row r="65" spans="1:7" x14ac:dyDescent="0.25">
      <c r="A65" s="89"/>
      <c r="B65" s="81" t="s">
        <v>134</v>
      </c>
      <c r="C65" s="81"/>
      <c r="D65" s="81"/>
      <c r="E65" s="81" t="s">
        <v>3</v>
      </c>
      <c r="F65" s="87"/>
      <c r="G65" s="81" t="s">
        <v>4</v>
      </c>
    </row>
    <row r="66" spans="1:7" x14ac:dyDescent="0.25">
      <c r="A66" s="81" t="s">
        <v>105</v>
      </c>
      <c r="B66" s="81">
        <f>B6</f>
        <v>-248068</v>
      </c>
      <c r="C66" s="81"/>
      <c r="D66" s="81"/>
      <c r="E66" s="81">
        <f>E6</f>
        <v>-248068</v>
      </c>
      <c r="F66" s="87"/>
      <c r="G66" s="81">
        <f>H6</f>
        <v>-248068</v>
      </c>
    </row>
    <row r="67" spans="1:7" x14ac:dyDescent="0.25">
      <c r="A67" s="81" t="s">
        <v>106</v>
      </c>
      <c r="B67" s="81">
        <f>E7</f>
        <v>-446347</v>
      </c>
      <c r="C67" s="81"/>
      <c r="D67" s="81"/>
      <c r="E67" s="81">
        <f>E7</f>
        <v>-446347</v>
      </c>
      <c r="F67" s="87"/>
      <c r="G67" s="81">
        <f>H7</f>
        <v>-446347</v>
      </c>
    </row>
    <row r="68" spans="1:7" x14ac:dyDescent="0.25">
      <c r="A68" s="81"/>
      <c r="B68" s="81"/>
      <c r="C68" s="81"/>
      <c r="D68" s="81"/>
      <c r="E68" s="81"/>
      <c r="F68" s="87"/>
      <c r="G68" s="81"/>
    </row>
    <row r="69" spans="1:7" x14ac:dyDescent="0.25">
      <c r="A69" s="82" t="s">
        <v>107</v>
      </c>
      <c r="B69" s="81"/>
      <c r="C69" s="81"/>
      <c r="D69" s="81"/>
      <c r="E69" s="81"/>
      <c r="F69" s="87"/>
      <c r="G69" s="81"/>
    </row>
    <row r="70" spans="1:7" x14ac:dyDescent="0.25">
      <c r="A70" s="81" t="s">
        <v>108</v>
      </c>
      <c r="B70" s="81">
        <f>B7</f>
        <v>-445872</v>
      </c>
      <c r="C70" s="81"/>
      <c r="D70" s="81"/>
      <c r="E70" s="81">
        <f>E7</f>
        <v>-446347</v>
      </c>
      <c r="F70" s="87"/>
      <c r="G70" s="81">
        <f>H7</f>
        <v>-446347</v>
      </c>
    </row>
    <row r="71" spans="1:7" x14ac:dyDescent="0.25">
      <c r="A71" s="81" t="s">
        <v>109</v>
      </c>
      <c r="B71" s="81">
        <f>B11+B12</f>
        <v>-126831.11000000002</v>
      </c>
      <c r="C71" s="81"/>
      <c r="D71" s="81"/>
      <c r="E71" s="81">
        <f>E11+E12</f>
        <v>-144441.73000000001</v>
      </c>
      <c r="F71" s="87"/>
      <c r="G71" s="81">
        <f>H11+H12</f>
        <v>-203490</v>
      </c>
    </row>
    <row r="72" spans="1:7" x14ac:dyDescent="0.25">
      <c r="A72" s="81" t="s">
        <v>110</v>
      </c>
      <c r="B72" s="81">
        <f>B10</f>
        <v>0</v>
      </c>
      <c r="C72" s="81"/>
      <c r="D72" s="81"/>
      <c r="E72" s="81">
        <f>E10</f>
        <v>0</v>
      </c>
      <c r="F72" s="87"/>
      <c r="G72" s="81">
        <f>H10</f>
        <v>0</v>
      </c>
    </row>
    <row r="73" spans="1:7" x14ac:dyDescent="0.25">
      <c r="A73" s="81" t="s">
        <v>111</v>
      </c>
      <c r="B73" s="81"/>
      <c r="C73" s="81"/>
      <c r="D73" s="81"/>
      <c r="E73" s="81"/>
      <c r="F73" s="87"/>
      <c r="G73" s="81"/>
    </row>
    <row r="74" spans="1:7" x14ac:dyDescent="0.25">
      <c r="A74" s="81" t="s">
        <v>112</v>
      </c>
      <c r="B74" s="81">
        <f>B9</f>
        <v>0</v>
      </c>
      <c r="C74" s="81"/>
      <c r="D74" s="81"/>
      <c r="E74" s="81">
        <f>E9</f>
        <v>0</v>
      </c>
      <c r="F74" s="87"/>
      <c r="G74" s="81">
        <f>H9</f>
        <v>0</v>
      </c>
    </row>
    <row r="75" spans="1:7" x14ac:dyDescent="0.25">
      <c r="A75" s="81" t="s">
        <v>113</v>
      </c>
      <c r="B75" s="81">
        <f>B8</f>
        <v>-92604.73</v>
      </c>
      <c r="C75" s="81"/>
      <c r="D75" s="81"/>
      <c r="E75" s="81">
        <f>E8</f>
        <v>-76500</v>
      </c>
      <c r="F75" s="87"/>
      <c r="G75" s="81">
        <f>H8</f>
        <v>-76500</v>
      </c>
    </row>
    <row r="76" spans="1:7" ht="15.75" thickBot="1" x14ac:dyDescent="0.3">
      <c r="A76" s="83" t="s">
        <v>114</v>
      </c>
      <c r="B76" s="85">
        <f>SUM(B70:B75)</f>
        <v>-665307.84</v>
      </c>
      <c r="C76" s="81"/>
      <c r="D76" s="81"/>
      <c r="E76" s="85">
        <f>SUM(E70:E75)</f>
        <v>-667288.73</v>
      </c>
      <c r="F76" s="87"/>
      <c r="G76" s="85">
        <f>SUM(G70:G75)</f>
        <v>-726337</v>
      </c>
    </row>
    <row r="77" spans="1:7" ht="15.75" thickTop="1" x14ac:dyDescent="0.25">
      <c r="A77" s="81"/>
      <c r="B77" s="81"/>
      <c r="C77" s="81"/>
      <c r="D77" s="81"/>
      <c r="E77" s="81"/>
      <c r="F77" s="87"/>
      <c r="G77" s="81"/>
    </row>
    <row r="78" spans="1:7" x14ac:dyDescent="0.25">
      <c r="A78" s="82" t="s">
        <v>115</v>
      </c>
      <c r="B78" s="81"/>
      <c r="C78" s="81"/>
      <c r="D78" s="81"/>
      <c r="E78" s="81"/>
      <c r="F78" s="87"/>
      <c r="G78" s="81"/>
    </row>
    <row r="79" spans="1:7" x14ac:dyDescent="0.25">
      <c r="A79" s="81" t="s">
        <v>116</v>
      </c>
      <c r="B79" s="81">
        <f>B20+B21</f>
        <v>183558.13999999998</v>
      </c>
      <c r="C79" s="81"/>
      <c r="D79" s="81"/>
      <c r="E79" s="81">
        <f>E20+E21</f>
        <v>266000</v>
      </c>
      <c r="F79" s="87"/>
      <c r="G79" s="81">
        <f>H20+H21</f>
        <v>229446.91</v>
      </c>
    </row>
    <row r="80" spans="1:7" x14ac:dyDescent="0.25">
      <c r="A80" s="81" t="s">
        <v>117</v>
      </c>
      <c r="B80" s="81">
        <f>B22</f>
        <v>4581.63</v>
      </c>
      <c r="C80" s="81"/>
      <c r="D80" s="81"/>
      <c r="E80" s="81">
        <f>E22</f>
        <v>2000</v>
      </c>
      <c r="F80" s="87"/>
      <c r="G80" s="81">
        <f>H22</f>
        <v>5000</v>
      </c>
    </row>
    <row r="81" spans="1:10" x14ac:dyDescent="0.25">
      <c r="A81" s="81" t="s">
        <v>118</v>
      </c>
      <c r="B81" s="81">
        <f>B28</f>
        <v>762.04</v>
      </c>
      <c r="C81" s="81"/>
      <c r="D81" s="81"/>
      <c r="E81" s="81">
        <f>E28</f>
        <v>2000</v>
      </c>
      <c r="F81" s="87"/>
      <c r="G81" s="81">
        <f>H28</f>
        <v>2000</v>
      </c>
    </row>
    <row r="82" spans="1:10" x14ac:dyDescent="0.25">
      <c r="A82" s="81" t="s">
        <v>119</v>
      </c>
      <c r="B82" s="81">
        <f>B26</f>
        <v>0</v>
      </c>
      <c r="C82" s="81"/>
      <c r="D82" s="81"/>
      <c r="E82" s="81">
        <f>E26</f>
        <v>0</v>
      </c>
      <c r="F82" s="87"/>
      <c r="G82" s="81">
        <f>H26</f>
        <v>0</v>
      </c>
    </row>
    <row r="83" spans="1:10" x14ac:dyDescent="0.25">
      <c r="A83" s="81" t="s">
        <v>120</v>
      </c>
      <c r="B83" s="81">
        <f>B18</f>
        <v>0</v>
      </c>
      <c r="C83" s="81"/>
      <c r="D83" s="81"/>
      <c r="E83" s="81">
        <f>E18</f>
        <v>3576</v>
      </c>
      <c r="F83" s="87"/>
      <c r="G83" s="81">
        <f>H18</f>
        <v>3576</v>
      </c>
    </row>
    <row r="84" spans="1:10" x14ac:dyDescent="0.25">
      <c r="A84" s="81" t="s">
        <v>121</v>
      </c>
      <c r="B84" s="81">
        <f>B40</f>
        <v>223489.49999999997</v>
      </c>
      <c r="C84" s="81"/>
      <c r="D84" s="81"/>
      <c r="E84" s="81">
        <f>E40</f>
        <v>319228</v>
      </c>
      <c r="F84" s="87"/>
      <c r="G84" s="81">
        <f>H40+H42</f>
        <v>328141</v>
      </c>
    </row>
    <row r="85" spans="1:10" x14ac:dyDescent="0.25">
      <c r="A85" s="81" t="s">
        <v>122</v>
      </c>
      <c r="B85" s="81">
        <f>B41</f>
        <v>62327.4</v>
      </c>
      <c r="C85" s="81"/>
      <c r="D85" s="81"/>
      <c r="E85" s="81">
        <f>E41</f>
        <v>94062</v>
      </c>
      <c r="F85" s="87"/>
      <c r="G85" s="81">
        <f>H41</f>
        <v>88336</v>
      </c>
    </row>
    <row r="86" spans="1:10" x14ac:dyDescent="0.25">
      <c r="A86" s="81" t="s">
        <v>123</v>
      </c>
      <c r="B86" s="81">
        <f>B37+B38</f>
        <v>0</v>
      </c>
      <c r="C86" s="81"/>
      <c r="D86" s="81"/>
      <c r="E86" s="81">
        <f>E37+E38</f>
        <v>0</v>
      </c>
      <c r="F86" s="87"/>
      <c r="G86" s="81">
        <f>H37+H38</f>
        <v>0</v>
      </c>
    </row>
    <row r="87" spans="1:10" x14ac:dyDescent="0.25">
      <c r="A87" s="81" t="s">
        <v>124</v>
      </c>
      <c r="B87" s="81">
        <f>B17+B24</f>
        <v>3673.29</v>
      </c>
      <c r="C87" s="81"/>
      <c r="D87" s="81"/>
      <c r="E87" s="81">
        <f>E17+E24</f>
        <v>24367.87</v>
      </c>
      <c r="F87" s="87"/>
      <c r="G87" s="90">
        <f>H17+H24</f>
        <v>24367.87</v>
      </c>
    </row>
    <row r="88" spans="1:10" x14ac:dyDescent="0.25">
      <c r="A88" s="81" t="s">
        <v>131</v>
      </c>
      <c r="B88" s="81">
        <f>B30+B31+B32+B33+B34+B35 +B25+B27</f>
        <v>21620.5</v>
      </c>
      <c r="C88" s="81"/>
      <c r="D88" s="81"/>
      <c r="E88" s="81">
        <f>E30+E31+E32+E33+E34+E35+B25+B27</f>
        <v>15000</v>
      </c>
      <c r="F88" s="87"/>
      <c r="G88" s="107">
        <f>H25+H27+H30+H34+H35</f>
        <v>26000</v>
      </c>
    </row>
    <row r="89" spans="1:10" ht="15.75" thickBot="1" x14ac:dyDescent="0.3">
      <c r="A89" s="83" t="s">
        <v>125</v>
      </c>
      <c r="B89" s="85">
        <f>SUM(B79:B88)</f>
        <v>500012.49999999994</v>
      </c>
      <c r="C89" s="81"/>
      <c r="D89" s="81"/>
      <c r="E89" s="85">
        <f>SUM(E79:E88)</f>
        <v>726233.87</v>
      </c>
      <c r="F89" s="87"/>
      <c r="G89" s="85">
        <f>SUM(G79:G88)</f>
        <v>706867.78</v>
      </c>
    </row>
    <row r="90" spans="1:10" ht="15.75" thickTop="1" x14ac:dyDescent="0.25">
      <c r="A90" s="81"/>
      <c r="B90" s="81"/>
      <c r="C90" s="81"/>
      <c r="D90" s="81"/>
      <c r="E90" s="81"/>
      <c r="F90" s="87"/>
      <c r="G90" s="81"/>
    </row>
    <row r="91" spans="1:10" ht="15.75" thickBot="1" x14ac:dyDescent="0.3">
      <c r="A91" s="81" t="s">
        <v>126</v>
      </c>
      <c r="B91" s="85">
        <f>B89+B76</f>
        <v>-165295.34000000003</v>
      </c>
      <c r="C91" s="81"/>
      <c r="D91" s="81"/>
      <c r="E91" s="85">
        <f>E89+E76</f>
        <v>58945.140000000014</v>
      </c>
      <c r="F91" s="87"/>
      <c r="G91" s="85">
        <f>G76+G89</f>
        <v>-19469.219999999972</v>
      </c>
    </row>
    <row r="92" spans="1:10" ht="15.75" thickTop="1" x14ac:dyDescent="0.25">
      <c r="A92" s="81"/>
      <c r="B92" s="83"/>
      <c r="C92" s="81"/>
      <c r="D92" s="81"/>
      <c r="E92" s="83"/>
      <c r="F92" s="87"/>
      <c r="G92" s="81"/>
    </row>
    <row r="93" spans="1:10" x14ac:dyDescent="0.25">
      <c r="A93" s="81"/>
      <c r="B93" s="81"/>
      <c r="C93" s="81"/>
      <c r="D93" s="81"/>
      <c r="E93" s="81"/>
      <c r="F93" s="87"/>
      <c r="G93" s="81"/>
    </row>
    <row r="94" spans="1:10" x14ac:dyDescent="0.25">
      <c r="A94" s="81" t="s">
        <v>127</v>
      </c>
      <c r="B94" s="81">
        <f>B66+B76+B89</f>
        <v>-413363.34</v>
      </c>
      <c r="C94" s="81"/>
      <c r="D94" s="81"/>
      <c r="E94" s="81">
        <f>E66+E76+E89</f>
        <v>-189122.86</v>
      </c>
      <c r="F94" s="87"/>
      <c r="G94" s="81">
        <f>G66+G91</f>
        <v>-267537.21999999997</v>
      </c>
    </row>
    <row r="95" spans="1:10" x14ac:dyDescent="0.25">
      <c r="A95" s="81" t="s">
        <v>128</v>
      </c>
      <c r="B95" s="86">
        <f>B94/B76</f>
        <v>0.62131139173108207</v>
      </c>
      <c r="C95" s="81"/>
      <c r="D95" s="81"/>
      <c r="E95" s="86">
        <f>E94/E76</f>
        <v>0.2834198323715133</v>
      </c>
      <c r="F95" s="87"/>
      <c r="G95" s="108">
        <f>G94/G76</f>
        <v>0.36833758985154269</v>
      </c>
    </row>
    <row r="96" spans="1:10" x14ac:dyDescent="0.25">
      <c r="A96" s="81" t="s">
        <v>129</v>
      </c>
      <c r="B96" s="86">
        <f>B94/B67</f>
        <v>0.92610309915827826</v>
      </c>
      <c r="C96" s="81"/>
      <c r="D96" s="81"/>
      <c r="E96" s="86">
        <f>E94/E67</f>
        <v>0.4237126271712367</v>
      </c>
      <c r="F96" s="87"/>
      <c r="G96" s="108">
        <f>G94/G70</f>
        <v>0.59939289386956773</v>
      </c>
      <c r="J96" s="110"/>
    </row>
    <row r="97" spans="1:7" x14ac:dyDescent="0.25">
      <c r="A97" s="81"/>
      <c r="B97" s="81"/>
      <c r="C97" s="81"/>
      <c r="D97" s="81"/>
      <c r="E97" s="81"/>
      <c r="F97" s="87"/>
      <c r="G97" s="81"/>
    </row>
    <row r="98" spans="1:7" x14ac:dyDescent="0.25">
      <c r="A98" s="81"/>
      <c r="B98" s="81"/>
      <c r="C98" s="81"/>
      <c r="D98" s="81"/>
      <c r="E98" s="81"/>
      <c r="F98" s="87"/>
      <c r="G98" s="81"/>
    </row>
    <row r="99" spans="1:7" x14ac:dyDescent="0.25">
      <c r="A99" s="81" t="s">
        <v>130</v>
      </c>
      <c r="B99" s="87">
        <f>B62</f>
        <v>22.73</v>
      </c>
      <c r="C99" s="81"/>
      <c r="D99" s="81"/>
      <c r="E99" s="87">
        <f>B99</f>
        <v>22.73</v>
      </c>
      <c r="F99" s="87"/>
      <c r="G99" s="87">
        <f>B62</f>
        <v>22.73</v>
      </c>
    </row>
    <row r="100" spans="1:7" x14ac:dyDescent="0.25">
      <c r="A100" s="81" t="s">
        <v>133</v>
      </c>
      <c r="B100" s="81">
        <f>-E7/B99</f>
        <v>19636.911570611526</v>
      </c>
      <c r="C100" s="81"/>
      <c r="D100" s="81"/>
      <c r="E100" s="81">
        <f>B100</f>
        <v>19636.911570611526</v>
      </c>
      <c r="F100" s="87"/>
      <c r="G100" s="81">
        <f>-G70/G99</f>
        <v>19636.911570611526</v>
      </c>
    </row>
    <row r="101" spans="1:7" x14ac:dyDescent="0.25">
      <c r="A101" s="109" t="s">
        <v>140</v>
      </c>
      <c r="B101" s="34">
        <f>B89/B99</f>
        <v>21997.910250769906</v>
      </c>
      <c r="C101" s="34"/>
      <c r="D101" s="34"/>
      <c r="E101" s="34">
        <f>E89/E99</f>
        <v>31950.456225252969</v>
      </c>
      <c r="F101" s="34"/>
      <c r="G101" s="36">
        <f>G89/G99</f>
        <v>31098.450505939287</v>
      </c>
    </row>
  </sheetData>
  <sheetProtection selectLockedCells="1"/>
  <mergeCells count="18">
    <mergeCell ref="K24:V24"/>
    <mergeCell ref="K30:V30"/>
    <mergeCell ref="K31:K36"/>
    <mergeCell ref="K11:V11"/>
    <mergeCell ref="K12:V12"/>
    <mergeCell ref="K14:V14"/>
    <mergeCell ref="K17:V17"/>
    <mergeCell ref="K18:V18"/>
    <mergeCell ref="C1:D1"/>
    <mergeCell ref="D4:D5"/>
    <mergeCell ref="C4:C5"/>
    <mergeCell ref="B4:B5"/>
    <mergeCell ref="J4:J5"/>
    <mergeCell ref="G4:G5"/>
    <mergeCell ref="H4:H5"/>
    <mergeCell ref="I4:I5"/>
    <mergeCell ref="F4:F5"/>
    <mergeCell ref="E4:E5"/>
  </mergeCells>
  <conditionalFormatting sqref="D45:E45">
    <cfRule type="cellIs" dxfId="396" priority="5" operator="lessThan">
      <formula>0</formula>
    </cfRule>
    <cfRule type="cellIs" dxfId="395" priority="6" operator="greaterThan">
      <formula>0</formula>
    </cfRule>
  </conditionalFormatting>
  <conditionalFormatting sqref="H45">
    <cfRule type="cellIs" dxfId="394" priority="3" operator="lessThan">
      <formula>0</formula>
    </cfRule>
    <cfRule type="cellIs" dxfId="393" priority="4" operator="greaterThan">
      <formula>0</formula>
    </cfRule>
  </conditionalFormatting>
  <conditionalFormatting sqref="D46:E46 H46">
    <cfRule type="cellIs" dxfId="392" priority="1" operator="lessThan">
      <formula>0</formula>
    </cfRule>
    <cfRule type="cellIs" dxfId="391" priority="2" operator="greaterThan">
      <formula>0</formula>
    </cfRule>
  </conditionalFormatting>
  <pageMargins left="0.25" right="0.25" top="0.75" bottom="0.75" header="0.3" footer="0.3"/>
  <pageSetup scale="4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6EC78-8914-4F86-BE8E-7FCD814D53DB}">
  <sheetPr>
    <pageSetUpPr fitToPage="1"/>
  </sheetPr>
  <dimension ref="A1:V101"/>
  <sheetViews>
    <sheetView workbookViewId="0">
      <selection activeCell="G101" sqref="G101"/>
    </sheetView>
  </sheetViews>
  <sheetFormatPr defaultRowHeight="15" x14ac:dyDescent="0.25"/>
  <cols>
    <col min="1" max="1" width="44.42578125" style="1" customWidth="1"/>
    <col min="2" max="6" width="12.28515625" customWidth="1"/>
    <col min="7" max="7" width="12.28515625" style="4" customWidth="1"/>
    <col min="8" max="9" width="12.28515625" customWidth="1"/>
    <col min="10" max="10" width="12.28515625" style="4" customWidth="1"/>
    <col min="11" max="11" width="20.85546875" customWidth="1"/>
  </cols>
  <sheetData>
    <row r="1" spans="1:22" ht="55.5" customHeight="1" x14ac:dyDescent="0.25">
      <c r="C1" s="100" t="s">
        <v>48</v>
      </c>
      <c r="D1" s="100"/>
      <c r="E1" s="19" t="s">
        <v>146</v>
      </c>
      <c r="K1" t="s">
        <v>136</v>
      </c>
    </row>
    <row r="2" spans="1:22" x14ac:dyDescent="0.25">
      <c r="A2" s="1" t="s">
        <v>49</v>
      </c>
      <c r="B2" s="19" t="s">
        <v>135</v>
      </c>
      <c r="C2" s="29">
        <v>2022</v>
      </c>
      <c r="D2" s="28" t="s">
        <v>86</v>
      </c>
      <c r="E2" s="29">
        <v>9</v>
      </c>
    </row>
    <row r="3" spans="1:22" x14ac:dyDescent="0.25">
      <c r="A3" s="26" t="s">
        <v>85</v>
      </c>
      <c r="B3" s="27"/>
      <c r="C3" s="27"/>
    </row>
    <row r="4" spans="1:22" ht="15" customHeight="1" x14ac:dyDescent="0.25">
      <c r="B4" s="101" t="s">
        <v>0</v>
      </c>
      <c r="C4" s="101" t="s">
        <v>1</v>
      </c>
      <c r="D4" s="101" t="s">
        <v>2</v>
      </c>
      <c r="E4" s="101" t="s">
        <v>3</v>
      </c>
      <c r="F4" s="101" t="s">
        <v>33</v>
      </c>
      <c r="G4" s="102" t="s">
        <v>35</v>
      </c>
      <c r="H4" s="101" t="s">
        <v>4</v>
      </c>
      <c r="I4" s="101" t="s">
        <v>5</v>
      </c>
      <c r="J4" s="102" t="s">
        <v>34</v>
      </c>
    </row>
    <row r="5" spans="1:22" x14ac:dyDescent="0.25">
      <c r="A5" s="1" t="s">
        <v>13</v>
      </c>
      <c r="B5" s="101"/>
      <c r="C5" s="101"/>
      <c r="D5" s="101"/>
      <c r="E5" s="101"/>
      <c r="F5" s="101"/>
      <c r="G5" s="102"/>
      <c r="H5" s="101"/>
      <c r="I5" s="101"/>
      <c r="J5" s="102"/>
      <c r="K5" s="20" t="s">
        <v>56</v>
      </c>
      <c r="L5" s="20"/>
      <c r="M5" s="20"/>
      <c r="N5" s="20"/>
      <c r="O5" s="20"/>
      <c r="P5" s="20"/>
      <c r="Q5" s="20"/>
      <c r="R5" s="20"/>
      <c r="S5" s="20"/>
      <c r="T5" s="20"/>
      <c r="U5" s="20"/>
      <c r="V5" s="20"/>
    </row>
    <row r="6" spans="1:22" x14ac:dyDescent="0.25">
      <c r="A6" s="1" t="s">
        <v>38</v>
      </c>
      <c r="B6" s="14">
        <v>-230637.4</v>
      </c>
      <c r="C6" s="21"/>
      <c r="D6" s="30">
        <f>B6+C6</f>
        <v>-230637.4</v>
      </c>
      <c r="E6" s="22">
        <v>-230637.4</v>
      </c>
      <c r="F6" s="32">
        <f>E6-D6</f>
        <v>0</v>
      </c>
      <c r="G6" s="33">
        <f>D6/E6%</f>
        <v>100</v>
      </c>
      <c r="H6" s="23">
        <v>-230637.4</v>
      </c>
      <c r="I6" s="35">
        <f>E6-H6</f>
        <v>0</v>
      </c>
      <c r="J6" s="36">
        <f>H6/E6%</f>
        <v>100</v>
      </c>
      <c r="K6" s="20" t="s">
        <v>54</v>
      </c>
      <c r="L6" s="20"/>
      <c r="M6" s="20"/>
      <c r="N6" s="20"/>
      <c r="O6" s="20"/>
      <c r="P6" s="20"/>
      <c r="Q6" s="20"/>
      <c r="R6" s="20"/>
      <c r="S6" s="20"/>
      <c r="T6" s="20"/>
      <c r="U6" s="20"/>
      <c r="V6" s="20"/>
    </row>
    <row r="7" spans="1:22" x14ac:dyDescent="0.25">
      <c r="A7" s="2" t="s">
        <v>6</v>
      </c>
      <c r="B7" s="14">
        <v>-373768</v>
      </c>
      <c r="C7" s="21"/>
      <c r="D7" s="30">
        <f t="shared" ref="D7:D42" si="0">B7+C7</f>
        <v>-373768</v>
      </c>
      <c r="E7" s="22">
        <v>-371526</v>
      </c>
      <c r="F7" s="32">
        <f t="shared" ref="F7:F42" si="1">E7-D7</f>
        <v>2242</v>
      </c>
      <c r="G7" s="33">
        <f t="shared" ref="G7:G42" si="2">D7/E7%</f>
        <v>100.60345709317787</v>
      </c>
      <c r="H7" s="23">
        <v>-373768</v>
      </c>
      <c r="I7" s="35">
        <f t="shared" ref="I7:I42" si="3">E7-H7</f>
        <v>2242</v>
      </c>
      <c r="J7" s="36">
        <f t="shared" ref="J7:J42" si="4">H7/E7%</f>
        <v>100.60345709317787</v>
      </c>
      <c r="K7" s="20" t="s">
        <v>79</v>
      </c>
      <c r="L7" s="20"/>
      <c r="M7" s="20"/>
      <c r="N7" s="20"/>
      <c r="O7" s="20"/>
      <c r="P7" s="20"/>
      <c r="Q7" s="20"/>
      <c r="R7" s="20"/>
      <c r="S7" s="20"/>
      <c r="T7" s="20"/>
      <c r="U7" s="20"/>
      <c r="V7" s="20"/>
    </row>
    <row r="8" spans="1:22" ht="15" customHeight="1" x14ac:dyDescent="0.25">
      <c r="A8" s="2" t="s">
        <v>7</v>
      </c>
      <c r="B8" s="14">
        <v>-13578</v>
      </c>
      <c r="C8" s="21"/>
      <c r="D8" s="30">
        <f t="shared" si="0"/>
        <v>-13578</v>
      </c>
      <c r="E8" s="22">
        <v>-62000</v>
      </c>
      <c r="F8" s="32">
        <f t="shared" si="1"/>
        <v>-48422</v>
      </c>
      <c r="G8" s="33">
        <f t="shared" si="2"/>
        <v>21.9</v>
      </c>
      <c r="H8" s="23">
        <v>-20000</v>
      </c>
      <c r="I8" s="35">
        <f t="shared" si="3"/>
        <v>-42000</v>
      </c>
      <c r="J8" s="36">
        <f t="shared" si="4"/>
        <v>32.258064516129032</v>
      </c>
      <c r="K8" s="20" t="s">
        <v>55</v>
      </c>
      <c r="L8" s="20"/>
      <c r="M8" s="20"/>
      <c r="N8" s="20"/>
      <c r="O8" s="20"/>
      <c r="P8" s="20"/>
      <c r="Q8" s="20"/>
      <c r="R8" s="20"/>
      <c r="S8" s="20"/>
      <c r="T8" s="20"/>
      <c r="U8" s="20"/>
      <c r="V8" s="20"/>
    </row>
    <row r="9" spans="1:22" x14ac:dyDescent="0.25">
      <c r="A9" s="2" t="s">
        <v>8</v>
      </c>
      <c r="B9" s="14"/>
      <c r="C9" s="21"/>
      <c r="D9" s="30">
        <f t="shared" si="0"/>
        <v>0</v>
      </c>
      <c r="E9" s="22">
        <v>0</v>
      </c>
      <c r="F9" s="32">
        <f t="shared" si="1"/>
        <v>0</v>
      </c>
      <c r="G9" s="33" t="e">
        <f t="shared" si="2"/>
        <v>#DIV/0!</v>
      </c>
      <c r="H9" s="23"/>
      <c r="I9" s="35">
        <f t="shared" si="3"/>
        <v>0</v>
      </c>
      <c r="J9" s="36" t="e">
        <f t="shared" si="4"/>
        <v>#DIV/0!</v>
      </c>
      <c r="K9" s="20"/>
      <c r="L9" s="20"/>
      <c r="M9" s="20"/>
      <c r="N9" s="20"/>
      <c r="O9" s="20"/>
      <c r="P9" s="20"/>
      <c r="Q9" s="20"/>
      <c r="R9" s="20"/>
      <c r="S9" s="20"/>
      <c r="T9" s="20"/>
      <c r="U9" s="20"/>
      <c r="V9" s="20"/>
    </row>
    <row r="10" spans="1:22" x14ac:dyDescent="0.25">
      <c r="A10" s="2" t="s">
        <v>9</v>
      </c>
      <c r="B10" s="14"/>
      <c r="C10" s="21"/>
      <c r="D10" s="30">
        <f t="shared" si="0"/>
        <v>0</v>
      </c>
      <c r="E10" s="22">
        <v>0</v>
      </c>
      <c r="F10" s="32">
        <f t="shared" si="1"/>
        <v>0</v>
      </c>
      <c r="G10" s="33" t="e">
        <f t="shared" si="2"/>
        <v>#DIV/0!</v>
      </c>
      <c r="H10" s="23"/>
      <c r="I10" s="35">
        <f t="shared" si="3"/>
        <v>0</v>
      </c>
      <c r="J10" s="36" t="e">
        <f t="shared" si="4"/>
        <v>#DIV/0!</v>
      </c>
      <c r="K10" s="20" t="s">
        <v>65</v>
      </c>
      <c r="L10" s="20"/>
      <c r="M10" s="20"/>
      <c r="N10" s="20"/>
      <c r="O10" s="20"/>
      <c r="P10" s="20"/>
      <c r="Q10" s="20"/>
      <c r="R10" s="20"/>
      <c r="S10" s="20"/>
      <c r="T10" s="20"/>
      <c r="U10" s="20"/>
      <c r="V10" s="20"/>
    </row>
    <row r="11" spans="1:22" ht="15" customHeight="1" x14ac:dyDescent="0.25">
      <c r="A11" s="2" t="s">
        <v>10</v>
      </c>
      <c r="B11" s="14">
        <v>-114384.56</v>
      </c>
      <c r="C11" s="21"/>
      <c r="D11" s="30">
        <f t="shared" si="0"/>
        <v>-114384.56</v>
      </c>
      <c r="E11" s="22">
        <v>-137000</v>
      </c>
      <c r="F11" s="32">
        <f t="shared" si="1"/>
        <v>-22615.440000000002</v>
      </c>
      <c r="G11" s="33">
        <f t="shared" si="2"/>
        <v>83.492379562043794</v>
      </c>
      <c r="H11" s="23">
        <v>-137000</v>
      </c>
      <c r="I11" s="35">
        <f t="shared" si="3"/>
        <v>0</v>
      </c>
      <c r="J11" s="36">
        <f t="shared" si="4"/>
        <v>100</v>
      </c>
      <c r="K11" s="103" t="s">
        <v>80</v>
      </c>
      <c r="L11" s="103"/>
      <c r="M11" s="103"/>
      <c r="N11" s="103"/>
      <c r="O11" s="103"/>
      <c r="P11" s="103"/>
      <c r="Q11" s="103"/>
      <c r="R11" s="103"/>
      <c r="S11" s="103"/>
      <c r="T11" s="103"/>
      <c r="U11" s="103"/>
      <c r="V11" s="103"/>
    </row>
    <row r="12" spans="1:22" ht="15" customHeight="1" x14ac:dyDescent="0.25">
      <c r="A12" s="2" t="s">
        <v>11</v>
      </c>
      <c r="B12" s="14"/>
      <c r="C12" s="21"/>
      <c r="D12" s="30">
        <f t="shared" si="0"/>
        <v>0</v>
      </c>
      <c r="E12" s="22">
        <v>0</v>
      </c>
      <c r="F12" s="32">
        <f t="shared" si="1"/>
        <v>0</v>
      </c>
      <c r="G12" s="33" t="e">
        <f t="shared" si="2"/>
        <v>#DIV/0!</v>
      </c>
      <c r="H12" s="23"/>
      <c r="I12" s="35">
        <f t="shared" si="3"/>
        <v>0</v>
      </c>
      <c r="J12" s="36" t="e">
        <f t="shared" si="4"/>
        <v>#DIV/0!</v>
      </c>
      <c r="K12" s="103" t="s">
        <v>81</v>
      </c>
      <c r="L12" s="103"/>
      <c r="M12" s="103"/>
      <c r="N12" s="103"/>
      <c r="O12" s="103"/>
      <c r="P12" s="103"/>
      <c r="Q12" s="103"/>
      <c r="R12" s="103"/>
      <c r="S12" s="103"/>
      <c r="T12" s="103"/>
      <c r="U12" s="103"/>
      <c r="V12" s="103"/>
    </row>
    <row r="13" spans="1:22" x14ac:dyDescent="0.25">
      <c r="A13" s="2"/>
      <c r="B13" s="14"/>
      <c r="C13" s="21"/>
      <c r="D13" s="30"/>
      <c r="E13" s="22"/>
      <c r="F13" s="32"/>
      <c r="G13" s="33"/>
      <c r="H13" s="23"/>
      <c r="I13" s="35">
        <f t="shared" si="3"/>
        <v>0</v>
      </c>
      <c r="J13" s="36" t="e">
        <f t="shared" si="4"/>
        <v>#DIV/0!</v>
      </c>
      <c r="K13" s="20"/>
      <c r="L13" s="20"/>
      <c r="M13" s="20"/>
      <c r="N13" s="20"/>
      <c r="O13" s="20"/>
      <c r="P13" s="20"/>
      <c r="Q13" s="20"/>
      <c r="R13" s="20"/>
      <c r="S13" s="20"/>
      <c r="T13" s="20"/>
      <c r="U13" s="20"/>
      <c r="V13" s="20"/>
    </row>
    <row r="14" spans="1:22" x14ac:dyDescent="0.25">
      <c r="A14" s="12" t="s">
        <v>53</v>
      </c>
      <c r="B14" s="9"/>
      <c r="C14" s="9"/>
      <c r="D14" s="15">
        <f>SUM(D7:D13)</f>
        <v>-501730.56</v>
      </c>
      <c r="E14" s="15">
        <f>SUM(E7:E13)</f>
        <v>-570526</v>
      </c>
      <c r="F14" s="9">
        <f t="shared" si="1"/>
        <v>-68795.44</v>
      </c>
      <c r="G14" s="38">
        <f t="shared" si="2"/>
        <v>87.941751997279695</v>
      </c>
      <c r="H14" s="15">
        <f>SUM(H7:H13)</f>
        <v>-530768</v>
      </c>
      <c r="I14" s="9">
        <f t="shared" si="3"/>
        <v>-39758</v>
      </c>
      <c r="J14" s="38">
        <f t="shared" si="4"/>
        <v>93.031343006278419</v>
      </c>
      <c r="K14" s="104" t="s">
        <v>57</v>
      </c>
      <c r="L14" s="104"/>
      <c r="M14" s="104"/>
      <c r="N14" s="104"/>
      <c r="O14" s="104"/>
      <c r="P14" s="104"/>
      <c r="Q14" s="104"/>
      <c r="R14" s="104"/>
      <c r="S14" s="104"/>
      <c r="T14" s="104"/>
      <c r="U14" s="104"/>
      <c r="V14" s="104"/>
    </row>
    <row r="15" spans="1:22" x14ac:dyDescent="0.25">
      <c r="A15" s="13" t="s">
        <v>58</v>
      </c>
      <c r="B15" s="9">
        <f>SUM(B6:B13)</f>
        <v>-732367.96</v>
      </c>
      <c r="C15" s="9">
        <f>SUM(C6:C13)</f>
        <v>0</v>
      </c>
      <c r="D15" s="9">
        <f t="shared" si="0"/>
        <v>-732367.96</v>
      </c>
      <c r="E15" s="15">
        <f>SUM(E6:E13)</f>
        <v>-801163.4</v>
      </c>
      <c r="F15" s="9">
        <f t="shared" si="1"/>
        <v>-68795.440000000061</v>
      </c>
      <c r="G15" s="38">
        <f t="shared" si="2"/>
        <v>91.413057561041853</v>
      </c>
      <c r="H15" s="15">
        <f>SUM(H6:H13)</f>
        <v>-761405.4</v>
      </c>
      <c r="I15" s="9">
        <f t="shared" si="3"/>
        <v>-39758</v>
      </c>
      <c r="J15" s="38">
        <f t="shared" si="4"/>
        <v>95.03746676395852</v>
      </c>
      <c r="K15" s="20" t="s">
        <v>59</v>
      </c>
      <c r="L15" s="20"/>
      <c r="M15" s="20"/>
      <c r="N15" s="20"/>
      <c r="O15" s="20"/>
      <c r="P15" s="20"/>
      <c r="Q15" s="20"/>
      <c r="R15" s="20"/>
      <c r="S15" s="20"/>
      <c r="T15" s="20"/>
      <c r="U15" s="20"/>
      <c r="V15" s="20"/>
    </row>
    <row r="16" spans="1:22" x14ac:dyDescent="0.25">
      <c r="A16" s="5"/>
      <c r="B16" s="7"/>
      <c r="C16" s="7"/>
      <c r="D16" s="7"/>
      <c r="E16" s="16"/>
      <c r="F16" s="7"/>
      <c r="G16" s="37"/>
      <c r="H16" s="16"/>
      <c r="I16" s="7"/>
      <c r="J16" s="37"/>
      <c r="K16" s="20"/>
      <c r="L16" s="20"/>
      <c r="M16" s="20"/>
      <c r="N16" s="20"/>
      <c r="O16" s="20"/>
      <c r="P16" s="20"/>
      <c r="Q16" s="20"/>
      <c r="R16" s="20"/>
      <c r="S16" s="20"/>
      <c r="T16" s="20"/>
      <c r="U16" s="20"/>
      <c r="V16" s="20"/>
    </row>
    <row r="17" spans="1:22" x14ac:dyDescent="0.25">
      <c r="A17" s="2" t="s">
        <v>72</v>
      </c>
      <c r="B17" s="14">
        <v>5000</v>
      </c>
      <c r="C17" s="21">
        <v>5000</v>
      </c>
      <c r="D17" s="30">
        <f t="shared" si="0"/>
        <v>10000</v>
      </c>
      <c r="E17" s="22">
        <v>10000</v>
      </c>
      <c r="F17" s="32">
        <f t="shared" si="1"/>
        <v>0</v>
      </c>
      <c r="G17" s="33">
        <f t="shared" si="2"/>
        <v>100</v>
      </c>
      <c r="H17" s="23">
        <v>10000</v>
      </c>
      <c r="I17" s="35">
        <f t="shared" si="3"/>
        <v>0</v>
      </c>
      <c r="J17" s="36">
        <f t="shared" si="4"/>
        <v>100</v>
      </c>
      <c r="K17" s="104" t="s">
        <v>60</v>
      </c>
      <c r="L17" s="104"/>
      <c r="M17" s="104"/>
      <c r="N17" s="104"/>
      <c r="O17" s="104"/>
      <c r="P17" s="104"/>
      <c r="Q17" s="104"/>
      <c r="R17" s="104"/>
      <c r="S17" s="104"/>
      <c r="T17" s="104"/>
      <c r="U17" s="104"/>
      <c r="V17" s="104"/>
    </row>
    <row r="18" spans="1:22" ht="15" customHeight="1" x14ac:dyDescent="0.25">
      <c r="A18" s="2" t="s">
        <v>100</v>
      </c>
      <c r="B18" s="14">
        <v>3576</v>
      </c>
      <c r="C18" s="21">
        <v>0</v>
      </c>
      <c r="D18" s="30">
        <f t="shared" si="0"/>
        <v>3576</v>
      </c>
      <c r="E18" s="22">
        <v>3500</v>
      </c>
      <c r="F18" s="32">
        <f t="shared" si="1"/>
        <v>-76</v>
      </c>
      <c r="G18" s="33">
        <f t="shared" si="2"/>
        <v>102.17142857142858</v>
      </c>
      <c r="H18" s="23">
        <v>3576</v>
      </c>
      <c r="I18" s="35">
        <f t="shared" si="3"/>
        <v>-76</v>
      </c>
      <c r="J18" s="36">
        <f t="shared" si="4"/>
        <v>102.17142857142858</v>
      </c>
      <c r="K18" s="104" t="s">
        <v>50</v>
      </c>
      <c r="L18" s="104"/>
      <c r="M18" s="104"/>
      <c r="N18" s="104"/>
      <c r="O18" s="104"/>
      <c r="P18" s="104"/>
      <c r="Q18" s="104"/>
      <c r="R18" s="104"/>
      <c r="S18" s="104"/>
      <c r="T18" s="104"/>
      <c r="U18" s="104"/>
      <c r="V18" s="104"/>
    </row>
    <row r="19" spans="1:22" x14ac:dyDescent="0.25">
      <c r="A19" s="5" t="s">
        <v>14</v>
      </c>
      <c r="B19" s="7"/>
      <c r="C19" s="7"/>
      <c r="D19" s="7"/>
      <c r="E19" s="16"/>
      <c r="F19" s="7"/>
      <c r="G19" s="37"/>
      <c r="H19" s="16"/>
      <c r="I19" s="7"/>
      <c r="J19" s="37"/>
      <c r="K19" s="20"/>
      <c r="L19" s="20"/>
      <c r="M19" s="20"/>
      <c r="N19" s="20"/>
      <c r="O19" s="20"/>
      <c r="P19" s="20"/>
      <c r="Q19" s="20"/>
      <c r="R19" s="20"/>
      <c r="S19" s="20"/>
      <c r="T19" s="20"/>
      <c r="U19" s="20"/>
      <c r="V19" s="20"/>
    </row>
    <row r="20" spans="1:22" x14ac:dyDescent="0.25">
      <c r="A20" s="2" t="s">
        <v>15</v>
      </c>
      <c r="B20" s="21">
        <v>200632.39</v>
      </c>
      <c r="C20" s="21"/>
      <c r="D20" s="30">
        <f t="shared" si="0"/>
        <v>200632.39</v>
      </c>
      <c r="E20" s="22">
        <v>243440.31</v>
      </c>
      <c r="F20" s="32">
        <f t="shared" si="1"/>
        <v>42807.919999999984</v>
      </c>
      <c r="G20" s="33">
        <f t="shared" si="2"/>
        <v>82.415434814390437</v>
      </c>
      <c r="H20" s="23">
        <v>240000</v>
      </c>
      <c r="I20" s="35">
        <f t="shared" si="3"/>
        <v>3440.3099999999977</v>
      </c>
      <c r="J20" s="36">
        <f t="shared" si="4"/>
        <v>98.58679525999618</v>
      </c>
      <c r="K20" s="20" t="s">
        <v>61</v>
      </c>
      <c r="L20" s="20"/>
      <c r="M20" s="20"/>
      <c r="N20" s="20"/>
      <c r="O20" s="20"/>
      <c r="P20" s="20"/>
      <c r="Q20" s="20"/>
      <c r="R20" s="20"/>
      <c r="S20" s="20"/>
      <c r="T20" s="20"/>
      <c r="U20" s="20"/>
      <c r="V20" s="20"/>
    </row>
    <row r="21" spans="1:22" x14ac:dyDescent="0.25">
      <c r="A21" s="2" t="s">
        <v>16</v>
      </c>
      <c r="B21" s="21">
        <v>111344.3</v>
      </c>
      <c r="C21" s="21"/>
      <c r="D21" s="30">
        <f t="shared" si="0"/>
        <v>111344.3</v>
      </c>
      <c r="E21" s="22">
        <v>125869.37</v>
      </c>
      <c r="F21" s="32">
        <f t="shared" si="1"/>
        <v>14525.069999999992</v>
      </c>
      <c r="G21" s="33">
        <f t="shared" si="2"/>
        <v>88.46020282774117</v>
      </c>
      <c r="H21" s="23">
        <v>126000</v>
      </c>
      <c r="I21" s="35">
        <f t="shared" si="3"/>
        <v>-130.63000000000466</v>
      </c>
      <c r="J21" s="36">
        <f t="shared" si="4"/>
        <v>100.10378219895753</v>
      </c>
      <c r="K21" s="20" t="s">
        <v>61</v>
      </c>
      <c r="L21" s="20"/>
      <c r="M21" s="20"/>
      <c r="N21" s="20"/>
      <c r="O21" s="20"/>
      <c r="P21" s="20"/>
      <c r="Q21" s="20"/>
      <c r="R21" s="20"/>
      <c r="S21" s="20"/>
      <c r="T21" s="20"/>
      <c r="U21" s="20"/>
      <c r="V21" s="20"/>
    </row>
    <row r="22" spans="1:22" x14ac:dyDescent="0.25">
      <c r="A22" s="2" t="s">
        <v>17</v>
      </c>
      <c r="B22" s="21">
        <v>1177.95</v>
      </c>
      <c r="C22" s="21"/>
      <c r="D22" s="30">
        <f t="shared" si="0"/>
        <v>1177.95</v>
      </c>
      <c r="E22" s="22">
        <v>4000</v>
      </c>
      <c r="F22" s="32">
        <f t="shared" si="1"/>
        <v>2822.05</v>
      </c>
      <c r="G22" s="33">
        <f t="shared" si="2"/>
        <v>29.44875</v>
      </c>
      <c r="H22" s="23">
        <v>3500</v>
      </c>
      <c r="I22" s="35">
        <f t="shared" si="3"/>
        <v>500</v>
      </c>
      <c r="J22" s="36">
        <f t="shared" si="4"/>
        <v>87.5</v>
      </c>
      <c r="K22" s="20"/>
      <c r="L22" s="20"/>
      <c r="M22" s="20"/>
      <c r="N22" s="20"/>
      <c r="O22" s="20"/>
      <c r="P22" s="20"/>
      <c r="Q22" s="20"/>
      <c r="R22" s="20"/>
      <c r="S22" s="20"/>
      <c r="T22" s="20"/>
      <c r="U22" s="20"/>
      <c r="V22" s="20"/>
    </row>
    <row r="23" spans="1:22" x14ac:dyDescent="0.25">
      <c r="A23" s="5" t="s">
        <v>82</v>
      </c>
      <c r="B23" s="7"/>
      <c r="C23" s="7"/>
      <c r="D23" s="7"/>
      <c r="E23" s="16"/>
      <c r="F23" s="7"/>
      <c r="G23" s="37"/>
      <c r="H23" s="16"/>
      <c r="I23" s="7"/>
      <c r="J23" s="37"/>
      <c r="K23" s="20"/>
      <c r="L23" s="20"/>
      <c r="M23" s="20"/>
      <c r="N23" s="20"/>
      <c r="O23" s="20"/>
      <c r="P23" s="20"/>
      <c r="Q23" s="20"/>
      <c r="R23" s="20"/>
      <c r="S23" s="20"/>
      <c r="T23" s="20"/>
      <c r="U23" s="20"/>
      <c r="V23" s="20"/>
    </row>
    <row r="24" spans="1:22" ht="15" customHeight="1" x14ac:dyDescent="0.25">
      <c r="A24" s="2" t="s">
        <v>39</v>
      </c>
      <c r="B24" s="14">
        <v>15439.99</v>
      </c>
      <c r="C24" s="21"/>
      <c r="D24" s="30">
        <f t="shared" si="0"/>
        <v>15439.99</v>
      </c>
      <c r="E24" s="22">
        <v>11940</v>
      </c>
      <c r="F24" s="32">
        <f t="shared" si="1"/>
        <v>-3499.99</v>
      </c>
      <c r="G24" s="33">
        <f t="shared" si="2"/>
        <v>129.31314907872695</v>
      </c>
      <c r="H24" s="23">
        <v>11940</v>
      </c>
      <c r="I24" s="35">
        <f t="shared" si="3"/>
        <v>0</v>
      </c>
      <c r="J24" s="36">
        <f t="shared" si="4"/>
        <v>100</v>
      </c>
      <c r="K24" s="103" t="s">
        <v>84</v>
      </c>
      <c r="L24" s="103"/>
      <c r="M24" s="103"/>
      <c r="N24" s="103"/>
      <c r="O24" s="103"/>
      <c r="P24" s="103"/>
      <c r="Q24" s="103"/>
      <c r="R24" s="103"/>
      <c r="S24" s="103"/>
      <c r="T24" s="103"/>
      <c r="U24" s="103"/>
      <c r="V24" s="103"/>
    </row>
    <row r="25" spans="1:22" x14ac:dyDescent="0.25">
      <c r="A25" s="2" t="s">
        <v>18</v>
      </c>
      <c r="B25" s="14">
        <v>1157.5</v>
      </c>
      <c r="C25" s="21"/>
      <c r="D25" s="30">
        <f t="shared" si="0"/>
        <v>1157.5</v>
      </c>
      <c r="E25" s="22">
        <v>1157.5</v>
      </c>
      <c r="F25" s="32">
        <f t="shared" si="1"/>
        <v>0</v>
      </c>
      <c r="G25" s="33">
        <f t="shared" si="2"/>
        <v>100</v>
      </c>
      <c r="H25" s="23">
        <v>1500</v>
      </c>
      <c r="I25" s="35">
        <f t="shared" si="3"/>
        <v>-342.5</v>
      </c>
      <c r="J25" s="36">
        <f t="shared" si="4"/>
        <v>129.58963282937367</v>
      </c>
      <c r="K25" s="20" t="s">
        <v>62</v>
      </c>
      <c r="L25" s="20"/>
      <c r="M25" s="20"/>
      <c r="N25" s="20"/>
      <c r="O25" s="20"/>
      <c r="P25" s="20"/>
      <c r="Q25" s="20"/>
      <c r="R25" s="20"/>
      <c r="S25" s="20"/>
      <c r="T25" s="20"/>
      <c r="U25" s="20"/>
      <c r="V25" s="20"/>
    </row>
    <row r="26" spans="1:22" x14ac:dyDescent="0.25">
      <c r="A26" s="2" t="s">
        <v>19</v>
      </c>
      <c r="B26" s="14">
        <v>2489.7600000000002</v>
      </c>
      <c r="C26" s="21"/>
      <c r="D26" s="30">
        <f t="shared" si="0"/>
        <v>2489.7600000000002</v>
      </c>
      <c r="E26" s="22">
        <v>10000</v>
      </c>
      <c r="F26" s="32">
        <f t="shared" si="1"/>
        <v>7510.24</v>
      </c>
      <c r="G26" s="33">
        <f t="shared" si="2"/>
        <v>24.897600000000001</v>
      </c>
      <c r="H26" s="23">
        <v>5000</v>
      </c>
      <c r="I26" s="35">
        <f t="shared" si="3"/>
        <v>5000</v>
      </c>
      <c r="J26" s="36">
        <f t="shared" si="4"/>
        <v>50</v>
      </c>
      <c r="K26" s="20"/>
      <c r="L26" s="20"/>
      <c r="M26" s="20"/>
      <c r="N26" s="20"/>
      <c r="O26" s="20"/>
      <c r="P26" s="20"/>
      <c r="Q26" s="20"/>
      <c r="R26" s="20"/>
      <c r="S26" s="20"/>
      <c r="T26" s="20"/>
      <c r="U26" s="20"/>
      <c r="V26" s="20"/>
    </row>
    <row r="27" spans="1:22" x14ac:dyDescent="0.25">
      <c r="A27" s="2" t="s">
        <v>75</v>
      </c>
      <c r="B27" s="14">
        <v>10190.11</v>
      </c>
      <c r="C27" s="21"/>
      <c r="D27" s="30">
        <f t="shared" si="0"/>
        <v>10190.11</v>
      </c>
      <c r="E27" s="22">
        <v>17000</v>
      </c>
      <c r="F27" s="32">
        <f t="shared" si="1"/>
        <v>6809.8899999999994</v>
      </c>
      <c r="G27" s="33">
        <f t="shared" si="2"/>
        <v>59.941823529411771</v>
      </c>
      <c r="H27" s="23">
        <v>8000</v>
      </c>
      <c r="I27" s="35">
        <f t="shared" si="3"/>
        <v>9000</v>
      </c>
      <c r="J27" s="36">
        <f t="shared" si="4"/>
        <v>47.058823529411768</v>
      </c>
      <c r="K27" s="20" t="s">
        <v>83</v>
      </c>
      <c r="L27" s="20"/>
      <c r="M27" s="20"/>
      <c r="N27" s="20"/>
      <c r="O27" s="20"/>
      <c r="P27" s="20"/>
      <c r="Q27" s="20"/>
      <c r="R27" s="20"/>
      <c r="S27" s="20"/>
      <c r="T27" s="20"/>
      <c r="U27" s="20"/>
      <c r="V27" s="20"/>
    </row>
    <row r="28" spans="1:22" x14ac:dyDescent="0.25">
      <c r="A28" s="2" t="s">
        <v>101</v>
      </c>
      <c r="B28" s="14">
        <v>3589.38</v>
      </c>
      <c r="C28" s="21"/>
      <c r="D28" s="30">
        <f t="shared" si="0"/>
        <v>3589.38</v>
      </c>
      <c r="E28" s="22">
        <v>7000</v>
      </c>
      <c r="F28" s="32">
        <f t="shared" si="1"/>
        <v>3410.62</v>
      </c>
      <c r="G28" s="33">
        <f t="shared" si="2"/>
        <v>51.276857142857146</v>
      </c>
      <c r="H28" s="23">
        <v>7000</v>
      </c>
      <c r="I28" s="35">
        <f t="shared" si="3"/>
        <v>0</v>
      </c>
      <c r="J28" s="36">
        <f t="shared" si="4"/>
        <v>100</v>
      </c>
      <c r="K28" s="20" t="s">
        <v>78</v>
      </c>
      <c r="L28" s="20"/>
      <c r="M28" s="20"/>
      <c r="N28" s="20"/>
      <c r="O28" s="20"/>
      <c r="P28" s="20"/>
      <c r="Q28" s="20"/>
      <c r="R28" s="20"/>
      <c r="S28" s="20"/>
      <c r="T28" s="20"/>
      <c r="U28" s="20"/>
      <c r="V28" s="20"/>
    </row>
    <row r="29" spans="1:22" x14ac:dyDescent="0.25">
      <c r="A29" s="5" t="s">
        <v>30</v>
      </c>
      <c r="B29" s="7"/>
      <c r="C29" s="7"/>
      <c r="D29" s="7"/>
      <c r="E29" s="16"/>
      <c r="F29" s="7"/>
      <c r="G29" s="37"/>
      <c r="H29" s="16"/>
      <c r="I29" s="7"/>
      <c r="J29" s="37"/>
      <c r="K29" s="20"/>
      <c r="L29" s="20"/>
      <c r="M29" s="20"/>
      <c r="N29" s="20"/>
      <c r="O29" s="20"/>
      <c r="P29" s="20"/>
      <c r="Q29" s="20"/>
      <c r="R29" s="20"/>
      <c r="S29" s="20"/>
      <c r="T29" s="20"/>
      <c r="U29" s="20"/>
      <c r="V29" s="20"/>
    </row>
    <row r="30" spans="1:22" ht="15" customHeight="1" x14ac:dyDescent="0.25">
      <c r="A30" s="2" t="s">
        <v>20</v>
      </c>
      <c r="B30" s="96">
        <v>0</v>
      </c>
      <c r="C30" s="21"/>
      <c r="D30" s="30">
        <f t="shared" si="0"/>
        <v>0</v>
      </c>
      <c r="E30" s="22">
        <v>0</v>
      </c>
      <c r="F30" s="32">
        <f t="shared" si="1"/>
        <v>0</v>
      </c>
      <c r="G30" s="33" t="e">
        <f t="shared" si="2"/>
        <v>#DIV/0!</v>
      </c>
      <c r="H30" s="23"/>
      <c r="I30" s="35">
        <f t="shared" si="3"/>
        <v>0</v>
      </c>
      <c r="J30" s="36" t="e">
        <f t="shared" si="4"/>
        <v>#DIV/0!</v>
      </c>
      <c r="K30" s="103" t="s">
        <v>63</v>
      </c>
      <c r="L30" s="103"/>
      <c r="M30" s="103"/>
      <c r="N30" s="103"/>
      <c r="O30" s="103"/>
      <c r="P30" s="103"/>
      <c r="Q30" s="103"/>
      <c r="R30" s="103"/>
      <c r="S30" s="103"/>
      <c r="T30" s="103"/>
      <c r="U30" s="103"/>
      <c r="V30" s="103"/>
    </row>
    <row r="31" spans="1:22" x14ac:dyDescent="0.25">
      <c r="A31" s="3" t="s">
        <v>21</v>
      </c>
      <c r="B31" s="96">
        <v>1702.68</v>
      </c>
      <c r="C31" s="21"/>
      <c r="D31" s="30">
        <f t="shared" si="0"/>
        <v>1702.68</v>
      </c>
      <c r="E31" s="22">
        <v>12000</v>
      </c>
      <c r="F31" s="32">
        <f t="shared" si="1"/>
        <v>10297.32</v>
      </c>
      <c r="G31" s="33">
        <f t="shared" si="2"/>
        <v>14.189</v>
      </c>
      <c r="H31" s="23">
        <v>1700</v>
      </c>
      <c r="I31" s="35">
        <f t="shared" si="3"/>
        <v>10300</v>
      </c>
      <c r="J31" s="36">
        <f t="shared" si="4"/>
        <v>14.166666666666666</v>
      </c>
      <c r="K31" s="103" t="s">
        <v>64</v>
      </c>
      <c r="L31" s="20"/>
      <c r="M31" s="20"/>
      <c r="N31" s="20"/>
      <c r="O31" s="20"/>
      <c r="P31" s="20"/>
      <c r="Q31" s="20"/>
      <c r="R31" s="20"/>
      <c r="S31" s="20"/>
      <c r="T31" s="20"/>
      <c r="U31" s="20"/>
      <c r="V31" s="20"/>
    </row>
    <row r="32" spans="1:22" x14ac:dyDescent="0.25">
      <c r="A32" s="3" t="s">
        <v>22</v>
      </c>
      <c r="B32" s="96">
        <v>350.72</v>
      </c>
      <c r="C32" s="21"/>
      <c r="D32" s="30">
        <f t="shared" si="0"/>
        <v>350.72</v>
      </c>
      <c r="E32" s="22">
        <v>400</v>
      </c>
      <c r="F32" s="32">
        <f t="shared" si="1"/>
        <v>49.279999999999973</v>
      </c>
      <c r="G32" s="33">
        <f t="shared" si="2"/>
        <v>87.68</v>
      </c>
      <c r="H32" s="23">
        <v>400</v>
      </c>
      <c r="I32" s="35">
        <f t="shared" si="3"/>
        <v>0</v>
      </c>
      <c r="J32" s="36">
        <f t="shared" si="4"/>
        <v>100</v>
      </c>
      <c r="K32" s="103"/>
      <c r="L32" s="20"/>
      <c r="M32" s="20"/>
      <c r="N32" s="20"/>
      <c r="O32" s="20"/>
      <c r="P32" s="20"/>
      <c r="Q32" s="20"/>
      <c r="R32" s="20"/>
      <c r="S32" s="20"/>
      <c r="T32" s="20"/>
      <c r="U32" s="20"/>
      <c r="V32" s="20"/>
    </row>
    <row r="33" spans="1:22" x14ac:dyDescent="0.25">
      <c r="A33" s="3" t="s">
        <v>23</v>
      </c>
      <c r="B33" s="96">
        <v>4404</v>
      </c>
      <c r="C33" s="21"/>
      <c r="D33" s="30">
        <f t="shared" si="0"/>
        <v>4404</v>
      </c>
      <c r="E33" s="22">
        <v>15000</v>
      </c>
      <c r="F33" s="32">
        <f t="shared" si="1"/>
        <v>10596</v>
      </c>
      <c r="G33" s="33">
        <f t="shared" si="2"/>
        <v>29.36</v>
      </c>
      <c r="H33" s="23">
        <v>10000</v>
      </c>
      <c r="I33" s="35">
        <f t="shared" si="3"/>
        <v>5000</v>
      </c>
      <c r="J33" s="36">
        <f t="shared" si="4"/>
        <v>66.666666666666671</v>
      </c>
      <c r="K33" s="103"/>
      <c r="L33" s="20"/>
      <c r="M33" s="20"/>
      <c r="N33" s="20"/>
      <c r="O33" s="20"/>
      <c r="P33" s="20"/>
      <c r="Q33" s="20"/>
      <c r="R33" s="20"/>
      <c r="S33" s="20"/>
      <c r="T33" s="20"/>
      <c r="U33" s="20"/>
      <c r="V33" s="20"/>
    </row>
    <row r="34" spans="1:22" x14ac:dyDescent="0.25">
      <c r="A34" s="3" t="s">
        <v>24</v>
      </c>
      <c r="B34" s="96">
        <v>7288.53</v>
      </c>
      <c r="C34" s="21"/>
      <c r="D34" s="30">
        <f t="shared" si="0"/>
        <v>7288.53</v>
      </c>
      <c r="E34" s="22">
        <v>7289</v>
      </c>
      <c r="F34" s="32">
        <f t="shared" si="1"/>
        <v>0.47000000000025466</v>
      </c>
      <c r="G34" s="33">
        <f t="shared" si="2"/>
        <v>99.993551927562081</v>
      </c>
      <c r="H34" s="23">
        <v>8000</v>
      </c>
      <c r="I34" s="35">
        <f t="shared" si="3"/>
        <v>-711</v>
      </c>
      <c r="J34" s="36">
        <f t="shared" si="4"/>
        <v>109.75442447523666</v>
      </c>
      <c r="K34" s="103"/>
      <c r="L34" s="20"/>
      <c r="M34" s="20"/>
      <c r="N34" s="20"/>
      <c r="O34" s="20"/>
      <c r="P34" s="20"/>
      <c r="Q34" s="20"/>
      <c r="R34" s="20"/>
      <c r="S34" s="20"/>
      <c r="T34" s="20"/>
      <c r="U34" s="20"/>
      <c r="V34" s="20"/>
    </row>
    <row r="35" spans="1:22" x14ac:dyDescent="0.25">
      <c r="A35" s="3" t="s">
        <v>25</v>
      </c>
      <c r="B35" s="96">
        <v>1190</v>
      </c>
      <c r="C35" s="21"/>
      <c r="D35" s="30">
        <f t="shared" si="0"/>
        <v>1190</v>
      </c>
      <c r="E35" s="22">
        <v>3230</v>
      </c>
      <c r="F35" s="32">
        <f t="shared" si="1"/>
        <v>2040</v>
      </c>
      <c r="G35" s="33">
        <f t="shared" si="2"/>
        <v>36.842105263157897</v>
      </c>
      <c r="H35" s="23">
        <v>3000</v>
      </c>
      <c r="I35" s="35">
        <f t="shared" si="3"/>
        <v>230</v>
      </c>
      <c r="J35" s="36">
        <f t="shared" si="4"/>
        <v>92.879256965944279</v>
      </c>
      <c r="K35" s="103"/>
      <c r="L35" s="20"/>
      <c r="M35" s="20"/>
      <c r="N35" s="20"/>
      <c r="O35" s="20"/>
      <c r="P35" s="20"/>
      <c r="Q35" s="20"/>
      <c r="R35" s="20"/>
      <c r="S35" s="20"/>
      <c r="T35" s="20"/>
      <c r="U35" s="20"/>
      <c r="V35" s="20"/>
    </row>
    <row r="36" spans="1:22" x14ac:dyDescent="0.25">
      <c r="A36" s="5" t="s">
        <v>31</v>
      </c>
      <c r="B36" s="14"/>
      <c r="C36" s="21"/>
      <c r="D36" s="30">
        <f t="shared" si="0"/>
        <v>0</v>
      </c>
      <c r="E36" s="22"/>
      <c r="F36" s="32">
        <f t="shared" si="1"/>
        <v>0</v>
      </c>
      <c r="G36" s="33" t="e">
        <f t="shared" si="2"/>
        <v>#DIV/0!</v>
      </c>
      <c r="H36" s="23"/>
      <c r="I36" s="35">
        <f t="shared" si="3"/>
        <v>0</v>
      </c>
      <c r="J36" s="36" t="e">
        <f t="shared" si="4"/>
        <v>#DIV/0!</v>
      </c>
      <c r="K36" s="103"/>
      <c r="L36" s="20"/>
      <c r="M36" s="20"/>
      <c r="N36" s="20"/>
      <c r="O36" s="20"/>
      <c r="P36" s="20"/>
      <c r="Q36" s="20"/>
      <c r="R36" s="20"/>
      <c r="S36" s="20"/>
      <c r="T36" s="20"/>
      <c r="U36" s="20"/>
      <c r="V36" s="20"/>
    </row>
    <row r="37" spans="1:22" x14ac:dyDescent="0.25">
      <c r="A37" s="2" t="s">
        <v>26</v>
      </c>
      <c r="B37" s="14">
        <v>908</v>
      </c>
      <c r="C37" s="21"/>
      <c r="D37" s="30">
        <f t="shared" si="0"/>
        <v>908</v>
      </c>
      <c r="E37" s="22">
        <v>0</v>
      </c>
      <c r="F37" s="32">
        <f t="shared" si="1"/>
        <v>-908</v>
      </c>
      <c r="G37" s="33" t="e">
        <f t="shared" si="2"/>
        <v>#DIV/0!</v>
      </c>
      <c r="H37" s="23">
        <v>908</v>
      </c>
      <c r="I37" s="35">
        <f t="shared" si="3"/>
        <v>-908</v>
      </c>
      <c r="J37" s="36" t="e">
        <f t="shared" si="4"/>
        <v>#DIV/0!</v>
      </c>
      <c r="K37" s="20" t="s">
        <v>66</v>
      </c>
      <c r="L37" s="20"/>
      <c r="M37" s="20"/>
      <c r="N37" s="20"/>
      <c r="O37" s="20"/>
      <c r="P37" s="20"/>
      <c r="Q37" s="20"/>
      <c r="R37" s="20"/>
      <c r="S37" s="20"/>
      <c r="T37" s="20"/>
      <c r="U37" s="20"/>
      <c r="V37" s="20"/>
    </row>
    <row r="38" spans="1:22" x14ac:dyDescent="0.25">
      <c r="A38" s="2" t="s">
        <v>27</v>
      </c>
      <c r="B38" s="14">
        <v>1128.49</v>
      </c>
      <c r="C38" s="21"/>
      <c r="D38" s="30">
        <f t="shared" si="0"/>
        <v>1128.49</v>
      </c>
      <c r="E38" s="22">
        <v>0</v>
      </c>
      <c r="F38" s="32">
        <f t="shared" si="1"/>
        <v>-1128.49</v>
      </c>
      <c r="G38" s="33" t="e">
        <f t="shared" si="2"/>
        <v>#DIV/0!</v>
      </c>
      <c r="H38" s="23">
        <v>1500</v>
      </c>
      <c r="I38" s="35">
        <f t="shared" si="3"/>
        <v>-1500</v>
      </c>
      <c r="J38" s="36" t="e">
        <f t="shared" si="4"/>
        <v>#DIV/0!</v>
      </c>
      <c r="K38" s="20" t="s">
        <v>74</v>
      </c>
      <c r="L38" s="20"/>
      <c r="M38" s="20"/>
      <c r="N38" s="20"/>
      <c r="O38" s="20"/>
      <c r="P38" s="20"/>
      <c r="Q38" s="20"/>
      <c r="R38" s="20"/>
      <c r="S38" s="20"/>
      <c r="T38" s="20"/>
      <c r="U38" s="20"/>
      <c r="V38" s="20"/>
    </row>
    <row r="39" spans="1:22" ht="15" customHeight="1" x14ac:dyDescent="0.25">
      <c r="A39" s="5" t="s">
        <v>32</v>
      </c>
      <c r="B39" s="7"/>
      <c r="C39" s="7"/>
      <c r="D39" s="7"/>
      <c r="E39" s="16"/>
      <c r="F39" s="7"/>
      <c r="G39" s="37"/>
      <c r="H39" s="16"/>
      <c r="I39" s="7"/>
      <c r="J39" s="37"/>
      <c r="K39" s="20"/>
      <c r="L39" s="20"/>
      <c r="M39" s="20"/>
      <c r="N39" s="20"/>
      <c r="O39" s="20"/>
      <c r="P39" s="20"/>
      <c r="Q39" s="20"/>
      <c r="R39" s="20"/>
      <c r="S39" s="20"/>
      <c r="T39" s="20"/>
      <c r="U39" s="20"/>
      <c r="V39" s="20"/>
    </row>
    <row r="40" spans="1:22" x14ac:dyDescent="0.25">
      <c r="A40" s="2" t="s">
        <v>28</v>
      </c>
      <c r="B40" s="96">
        <v>204444.34</v>
      </c>
      <c r="C40" s="21"/>
      <c r="D40" s="30">
        <f t="shared" si="0"/>
        <v>204444.34</v>
      </c>
      <c r="E40" s="22">
        <v>227000</v>
      </c>
      <c r="F40" s="32">
        <f t="shared" si="1"/>
        <v>22555.660000000003</v>
      </c>
      <c r="G40" s="33">
        <f t="shared" si="2"/>
        <v>90.063585903083705</v>
      </c>
      <c r="H40" s="23">
        <v>270000</v>
      </c>
      <c r="I40" s="35">
        <f t="shared" si="3"/>
        <v>-43000</v>
      </c>
      <c r="J40" s="36">
        <f t="shared" si="4"/>
        <v>118.94273127753304</v>
      </c>
      <c r="K40" s="20" t="s">
        <v>67</v>
      </c>
      <c r="L40" s="20"/>
      <c r="M40" s="20"/>
      <c r="N40" s="20"/>
      <c r="O40" s="20"/>
      <c r="P40" s="20"/>
      <c r="Q40" s="20"/>
      <c r="R40" s="20"/>
      <c r="S40" s="20"/>
      <c r="T40" s="20"/>
      <c r="U40" s="20"/>
      <c r="V40" s="20"/>
    </row>
    <row r="41" spans="1:22" x14ac:dyDescent="0.25">
      <c r="A41" s="2" t="s">
        <v>29</v>
      </c>
      <c r="B41" s="96">
        <v>62536.12</v>
      </c>
      <c r="C41" s="21"/>
      <c r="D41" s="30">
        <f t="shared" si="0"/>
        <v>62536.12</v>
      </c>
      <c r="E41" s="22">
        <v>60000</v>
      </c>
      <c r="F41" s="32">
        <f t="shared" si="1"/>
        <v>-2536.1200000000026</v>
      </c>
      <c r="G41" s="33">
        <f t="shared" si="2"/>
        <v>104.22686666666667</v>
      </c>
      <c r="H41" s="23">
        <v>75000</v>
      </c>
      <c r="I41" s="35">
        <f t="shared" si="3"/>
        <v>-15000</v>
      </c>
      <c r="J41" s="36">
        <f t="shared" si="4"/>
        <v>125</v>
      </c>
      <c r="K41" s="20" t="s">
        <v>68</v>
      </c>
      <c r="L41" s="20"/>
      <c r="M41" s="20"/>
      <c r="N41" s="20"/>
      <c r="O41" s="20"/>
      <c r="P41" s="20"/>
      <c r="Q41" s="20"/>
      <c r="R41" s="20"/>
      <c r="S41" s="20"/>
      <c r="T41" s="20"/>
      <c r="U41" s="20"/>
      <c r="V41" s="20"/>
    </row>
    <row r="42" spans="1:22" x14ac:dyDescent="0.25">
      <c r="A42" s="2" t="s">
        <v>76</v>
      </c>
      <c r="B42" s="14"/>
      <c r="C42" s="21"/>
      <c r="D42" s="30">
        <f t="shared" si="0"/>
        <v>0</v>
      </c>
      <c r="E42" s="22">
        <v>0</v>
      </c>
      <c r="F42" s="32">
        <f t="shared" si="1"/>
        <v>0</v>
      </c>
      <c r="G42" s="33" t="e">
        <f t="shared" si="2"/>
        <v>#DIV/0!</v>
      </c>
      <c r="H42" s="23">
        <v>0</v>
      </c>
      <c r="I42" s="35">
        <f t="shared" si="3"/>
        <v>0</v>
      </c>
      <c r="J42" s="36" t="e">
        <f t="shared" si="4"/>
        <v>#DIV/0!</v>
      </c>
      <c r="K42" s="20" t="s">
        <v>77</v>
      </c>
      <c r="L42" s="20"/>
      <c r="M42" s="20"/>
      <c r="N42" s="20"/>
      <c r="O42" s="20"/>
      <c r="P42" s="20"/>
      <c r="Q42" s="20"/>
      <c r="R42" s="20"/>
      <c r="S42" s="20"/>
      <c r="T42" s="20"/>
      <c r="U42" s="20"/>
      <c r="V42" s="20"/>
    </row>
    <row r="43" spans="1:22" x14ac:dyDescent="0.25">
      <c r="A43" s="2"/>
      <c r="B43" s="14"/>
      <c r="C43" s="21"/>
      <c r="D43" s="30"/>
      <c r="E43" s="22"/>
      <c r="F43" s="32"/>
      <c r="G43" s="33"/>
      <c r="H43" s="23"/>
      <c r="I43" s="35"/>
      <c r="J43" s="36"/>
      <c r="K43" s="20"/>
      <c r="L43" s="20"/>
      <c r="M43" s="20"/>
      <c r="N43" s="20"/>
      <c r="O43" s="20"/>
      <c r="P43" s="20"/>
      <c r="Q43" s="20"/>
      <c r="R43" s="20"/>
      <c r="S43" s="20"/>
      <c r="T43" s="20"/>
      <c r="U43" s="20"/>
      <c r="V43" s="20"/>
    </row>
    <row r="44" spans="1:22" x14ac:dyDescent="0.25">
      <c r="A44" s="2" t="s">
        <v>36</v>
      </c>
      <c r="B44" s="8">
        <f>SUM(B17:B43)</f>
        <v>638550.26</v>
      </c>
      <c r="C44" s="8">
        <f t="shared" ref="C44:F44" si="5">SUM(C17:C43)</f>
        <v>5000</v>
      </c>
      <c r="D44" s="15">
        <f t="shared" ref="D44" si="6">B44+C44</f>
        <v>643550.26</v>
      </c>
      <c r="E44" s="8">
        <f t="shared" si="5"/>
        <v>758826.17999999993</v>
      </c>
      <c r="F44" s="18">
        <f t="shared" si="5"/>
        <v>115275.91999999995</v>
      </c>
      <c r="G44" s="17">
        <f t="shared" ref="G44" si="7">D44/E44%</f>
        <v>84.808652753651714</v>
      </c>
      <c r="H44" s="9">
        <f>SUM(H17:H43)</f>
        <v>787024</v>
      </c>
      <c r="I44" s="15">
        <f t="shared" ref="I44" si="8">E44-H44</f>
        <v>-28197.820000000065</v>
      </c>
      <c r="J44" s="17">
        <f t="shared" ref="J44" si="9">H44/E44%</f>
        <v>103.71597880294537</v>
      </c>
      <c r="K44" s="20"/>
      <c r="L44" s="20"/>
      <c r="M44" s="20"/>
      <c r="N44" s="20"/>
      <c r="O44" s="20"/>
      <c r="P44" s="20"/>
      <c r="Q44" s="20"/>
      <c r="R44" s="20"/>
      <c r="S44" s="20"/>
      <c r="T44" s="20"/>
      <c r="U44" s="20"/>
      <c r="V44" s="20"/>
    </row>
    <row r="45" spans="1:22" x14ac:dyDescent="0.25">
      <c r="A45" s="1" t="s">
        <v>51</v>
      </c>
      <c r="B45" s="9"/>
      <c r="C45" s="9"/>
      <c r="D45" s="9">
        <f>D44+D14</f>
        <v>141819.70000000001</v>
      </c>
      <c r="E45" s="9">
        <f>E44+E14</f>
        <v>188300.17999999993</v>
      </c>
      <c r="F45" s="9"/>
      <c r="G45" s="9"/>
      <c r="H45" s="9">
        <f>H44+H14</f>
        <v>256256</v>
      </c>
      <c r="I45" s="9"/>
      <c r="J45" s="9"/>
      <c r="K45" s="20"/>
      <c r="L45" s="20"/>
      <c r="M45" s="20"/>
      <c r="N45" s="20"/>
      <c r="O45" s="20"/>
      <c r="P45" s="20"/>
      <c r="Q45" s="20"/>
      <c r="R45" s="20"/>
      <c r="S45" s="20"/>
      <c r="T45" s="20"/>
      <c r="U45" s="20"/>
      <c r="V45" s="20"/>
    </row>
    <row r="46" spans="1:22" x14ac:dyDescent="0.25">
      <c r="A46" s="1" t="s">
        <v>52</v>
      </c>
      <c r="B46" s="9"/>
      <c r="C46" s="9"/>
      <c r="D46" s="9">
        <f>D6+D45</f>
        <v>-88817.699999999983</v>
      </c>
      <c r="E46" s="9">
        <f>E6+E45</f>
        <v>-42337.220000000059</v>
      </c>
      <c r="F46" s="9"/>
      <c r="G46" s="9"/>
      <c r="H46" s="9">
        <f>H6+H45</f>
        <v>25618.600000000006</v>
      </c>
      <c r="I46" s="9"/>
      <c r="J46" s="9"/>
      <c r="K46" s="20"/>
      <c r="L46" s="20"/>
      <c r="M46" s="20"/>
      <c r="N46" s="20"/>
      <c r="O46" s="20"/>
      <c r="P46" s="20"/>
      <c r="Q46" s="20"/>
      <c r="R46" s="20"/>
      <c r="S46" s="20"/>
      <c r="T46" s="20"/>
      <c r="U46" s="20"/>
      <c r="V46" s="20"/>
    </row>
    <row r="48" spans="1:22" x14ac:dyDescent="0.25">
      <c r="A48" s="1" t="s">
        <v>37</v>
      </c>
      <c r="D48" s="10"/>
      <c r="E48" s="10"/>
      <c r="F48" s="10"/>
      <c r="G48" s="11"/>
      <c r="H48" s="10"/>
      <c r="I48" s="10"/>
    </row>
    <row r="49" spans="1:10" x14ac:dyDescent="0.25">
      <c r="A49" s="1" t="s">
        <v>40</v>
      </c>
      <c r="B49">
        <f>D15</f>
        <v>-732367.96</v>
      </c>
      <c r="G49"/>
      <c r="J49"/>
    </row>
    <row r="50" spans="1:10" x14ac:dyDescent="0.25">
      <c r="A50" s="1" t="s">
        <v>41</v>
      </c>
      <c r="B50">
        <f>D44</f>
        <v>643550.26</v>
      </c>
      <c r="G50"/>
      <c r="J50"/>
    </row>
    <row r="51" spans="1:10" x14ac:dyDescent="0.25">
      <c r="A51" s="1" t="s">
        <v>42</v>
      </c>
      <c r="B51">
        <f>H15</f>
        <v>-761405.4</v>
      </c>
    </row>
    <row r="52" spans="1:10" x14ac:dyDescent="0.25">
      <c r="A52" s="1" t="s">
        <v>71</v>
      </c>
      <c r="B52">
        <f>H44</f>
        <v>787024</v>
      </c>
    </row>
    <row r="53" spans="1:10" x14ac:dyDescent="0.25">
      <c r="A53" s="1" t="s">
        <v>43</v>
      </c>
      <c r="B53">
        <f>B51+B52</f>
        <v>25618.599999999977</v>
      </c>
    </row>
    <row r="54" spans="1:10" x14ac:dyDescent="0.25">
      <c r="A54" s="1" t="s">
        <v>44</v>
      </c>
      <c r="B54" s="4">
        <f>B53/B7%</f>
        <v>-6.8541448171057926</v>
      </c>
    </row>
    <row r="55" spans="1:10" x14ac:dyDescent="0.25">
      <c r="A55" s="1" t="s">
        <v>45</v>
      </c>
      <c r="B55" s="4">
        <f>B53/B15%</f>
        <v>-3.498050351629252</v>
      </c>
    </row>
    <row r="56" spans="1:10" x14ac:dyDescent="0.25">
      <c r="B56" s="19"/>
    </row>
    <row r="57" spans="1:10" x14ac:dyDescent="0.25">
      <c r="A57" s="1" t="s">
        <v>46</v>
      </c>
      <c r="B57" s="19"/>
    </row>
    <row r="58" spans="1:10" x14ac:dyDescent="0.25">
      <c r="B58" s="19"/>
    </row>
    <row r="59" spans="1:10" ht="15" customHeight="1" x14ac:dyDescent="0.25">
      <c r="A59" s="1" t="s">
        <v>141</v>
      </c>
      <c r="B59" s="19">
        <v>22</v>
      </c>
    </row>
    <row r="60" spans="1:10" ht="15" customHeight="1" x14ac:dyDescent="0.25">
      <c r="A60" s="1" t="s">
        <v>144</v>
      </c>
      <c r="B60" s="19">
        <v>32</v>
      </c>
    </row>
    <row r="61" spans="1:10" ht="30" x14ac:dyDescent="0.25">
      <c r="A61" s="1" t="s">
        <v>143</v>
      </c>
      <c r="B61" s="19">
        <v>40</v>
      </c>
      <c r="C61" t="s">
        <v>132</v>
      </c>
    </row>
    <row r="62" spans="1:10" x14ac:dyDescent="0.25">
      <c r="A62" s="1" t="s">
        <v>47</v>
      </c>
      <c r="B62" s="4">
        <f>B59*(4/12)+ B60*(3/12)+B61*(5/12)</f>
        <v>32</v>
      </c>
    </row>
    <row r="63" spans="1:10" x14ac:dyDescent="0.25">
      <c r="A63" s="1" t="s">
        <v>69</v>
      </c>
      <c r="B63" s="4">
        <f>E44/B62</f>
        <v>23713.318124999998</v>
      </c>
    </row>
    <row r="64" spans="1:10" x14ac:dyDescent="0.25">
      <c r="A64" s="1" t="s">
        <v>70</v>
      </c>
      <c r="B64">
        <f>B44/B62</f>
        <v>19954.695625</v>
      </c>
    </row>
    <row r="65" spans="1:7" x14ac:dyDescent="0.25">
      <c r="A65" s="89"/>
      <c r="B65" s="81" t="s">
        <v>134</v>
      </c>
      <c r="C65" s="81"/>
      <c r="D65" s="81"/>
      <c r="E65" s="81" t="s">
        <v>3</v>
      </c>
      <c r="F65" s="87"/>
      <c r="G65" s="81" t="s">
        <v>4</v>
      </c>
    </row>
    <row r="66" spans="1:7" x14ac:dyDescent="0.25">
      <c r="A66" s="81" t="s">
        <v>105</v>
      </c>
      <c r="B66" s="81">
        <f>B6</f>
        <v>-230637.4</v>
      </c>
      <c r="C66" s="81"/>
      <c r="D66" s="81"/>
      <c r="E66" s="81">
        <f>E6</f>
        <v>-230637.4</v>
      </c>
      <c r="F66" s="87"/>
      <c r="G66" s="81">
        <f>H6</f>
        <v>-230637.4</v>
      </c>
    </row>
    <row r="67" spans="1:7" x14ac:dyDescent="0.25">
      <c r="A67" s="81" t="s">
        <v>106</v>
      </c>
      <c r="B67" s="81">
        <f>E7</f>
        <v>-371526</v>
      </c>
      <c r="C67" s="81"/>
      <c r="D67" s="81"/>
      <c r="E67" s="81">
        <f>E7</f>
        <v>-371526</v>
      </c>
      <c r="F67" s="87"/>
      <c r="G67" s="81">
        <f>H7</f>
        <v>-373768</v>
      </c>
    </row>
    <row r="68" spans="1:7" x14ac:dyDescent="0.25">
      <c r="A68" s="81"/>
      <c r="B68" s="81"/>
      <c r="C68" s="81"/>
      <c r="D68" s="81"/>
      <c r="E68" s="81"/>
      <c r="F68" s="87"/>
      <c r="G68" s="81"/>
    </row>
    <row r="69" spans="1:7" x14ac:dyDescent="0.25">
      <c r="A69" s="82" t="s">
        <v>107</v>
      </c>
      <c r="B69" s="81"/>
      <c r="C69" s="81"/>
      <c r="D69" s="81"/>
      <c r="E69" s="81"/>
      <c r="F69" s="87"/>
      <c r="G69" s="81"/>
    </row>
    <row r="70" spans="1:7" x14ac:dyDescent="0.25">
      <c r="A70" s="81" t="s">
        <v>108</v>
      </c>
      <c r="B70" s="81">
        <f>B7</f>
        <v>-373768</v>
      </c>
      <c r="C70" s="81"/>
      <c r="D70" s="81"/>
      <c r="E70" s="81">
        <f>E7</f>
        <v>-371526</v>
      </c>
      <c r="F70" s="87"/>
      <c r="G70" s="81">
        <f>H7</f>
        <v>-373768</v>
      </c>
    </row>
    <row r="71" spans="1:7" x14ac:dyDescent="0.25">
      <c r="A71" s="81" t="s">
        <v>109</v>
      </c>
      <c r="B71" s="81">
        <f>B11+B12</f>
        <v>-114384.56</v>
      </c>
      <c r="C71" s="81"/>
      <c r="D71" s="81"/>
      <c r="E71" s="81">
        <f>E11+E12</f>
        <v>-137000</v>
      </c>
      <c r="F71" s="87"/>
      <c r="G71" s="81">
        <f>H11+H12</f>
        <v>-137000</v>
      </c>
    </row>
    <row r="72" spans="1:7" x14ac:dyDescent="0.25">
      <c r="A72" s="81" t="s">
        <v>110</v>
      </c>
      <c r="B72" s="81">
        <f>B10</f>
        <v>0</v>
      </c>
      <c r="C72" s="81"/>
      <c r="D72" s="81"/>
      <c r="E72" s="81">
        <f>E10</f>
        <v>0</v>
      </c>
      <c r="F72" s="87"/>
      <c r="G72" s="81">
        <f>H10</f>
        <v>0</v>
      </c>
    </row>
    <row r="73" spans="1:7" x14ac:dyDescent="0.25">
      <c r="A73" s="81" t="s">
        <v>111</v>
      </c>
      <c r="B73" s="81"/>
      <c r="C73" s="81"/>
      <c r="D73" s="81"/>
      <c r="E73" s="81"/>
      <c r="F73" s="87"/>
      <c r="G73" s="81"/>
    </row>
    <row r="74" spans="1:7" x14ac:dyDescent="0.25">
      <c r="A74" s="81" t="s">
        <v>112</v>
      </c>
      <c r="B74" s="81">
        <f>B9</f>
        <v>0</v>
      </c>
      <c r="C74" s="81"/>
      <c r="D74" s="81"/>
      <c r="E74" s="81">
        <f>E9</f>
        <v>0</v>
      </c>
      <c r="F74" s="87"/>
      <c r="G74" s="81">
        <f>H9</f>
        <v>0</v>
      </c>
    </row>
    <row r="75" spans="1:7" x14ac:dyDescent="0.25">
      <c r="A75" s="81" t="s">
        <v>113</v>
      </c>
      <c r="B75" s="81">
        <f>B8</f>
        <v>-13578</v>
      </c>
      <c r="C75" s="81"/>
      <c r="D75" s="81"/>
      <c r="E75" s="81">
        <f>E8</f>
        <v>-62000</v>
      </c>
      <c r="F75" s="87"/>
      <c r="G75" s="81">
        <f>H8</f>
        <v>-20000</v>
      </c>
    </row>
    <row r="76" spans="1:7" ht="15.75" thickBot="1" x14ac:dyDescent="0.3">
      <c r="A76" s="83" t="s">
        <v>114</v>
      </c>
      <c r="B76" s="84">
        <f>SUM(B70:B75)</f>
        <v>-501730.56</v>
      </c>
      <c r="C76" s="81"/>
      <c r="D76" s="81"/>
      <c r="E76" s="84">
        <f>SUM(E70:E75)</f>
        <v>-570526</v>
      </c>
      <c r="F76" s="87"/>
      <c r="G76" s="84">
        <f>SUM(G70:G75)</f>
        <v>-530768</v>
      </c>
    </row>
    <row r="77" spans="1:7" ht="15.75" thickTop="1" x14ac:dyDescent="0.25">
      <c r="A77" s="81"/>
      <c r="B77" s="81"/>
      <c r="C77" s="81"/>
      <c r="D77" s="81"/>
      <c r="E77" s="81"/>
      <c r="F77" s="87"/>
      <c r="G77" s="81"/>
    </row>
    <row r="78" spans="1:7" x14ac:dyDescent="0.25">
      <c r="A78" s="82" t="s">
        <v>115</v>
      </c>
      <c r="B78" s="81"/>
      <c r="C78" s="81"/>
      <c r="D78" s="81"/>
      <c r="E78" s="81"/>
      <c r="F78" s="87"/>
      <c r="G78" s="81"/>
    </row>
    <row r="79" spans="1:7" x14ac:dyDescent="0.25">
      <c r="A79" s="81" t="s">
        <v>116</v>
      </c>
      <c r="B79" s="81">
        <f>B20+B21</f>
        <v>311976.69</v>
      </c>
      <c r="C79" s="81"/>
      <c r="D79" s="81"/>
      <c r="E79" s="81">
        <f>E20+E21</f>
        <v>369309.68</v>
      </c>
      <c r="F79" s="87"/>
      <c r="G79" s="81">
        <f>H20+H21</f>
        <v>366000</v>
      </c>
    </row>
    <row r="80" spans="1:7" x14ac:dyDescent="0.25">
      <c r="A80" s="81" t="s">
        <v>117</v>
      </c>
      <c r="B80" s="81">
        <f>B22</f>
        <v>1177.95</v>
      </c>
      <c r="C80" s="81"/>
      <c r="D80" s="81"/>
      <c r="E80" s="81">
        <f>E22</f>
        <v>4000</v>
      </c>
      <c r="F80" s="87"/>
      <c r="G80" s="81">
        <f>H22</f>
        <v>3500</v>
      </c>
    </row>
    <row r="81" spans="1:7" x14ac:dyDescent="0.25">
      <c r="A81" s="81" t="s">
        <v>118</v>
      </c>
      <c r="B81" s="81">
        <f>B28</f>
        <v>3589.38</v>
      </c>
      <c r="C81" s="81"/>
      <c r="D81" s="81"/>
      <c r="E81" s="81">
        <f>E28</f>
        <v>7000</v>
      </c>
      <c r="F81" s="87"/>
      <c r="G81" s="81">
        <f>H28</f>
        <v>7000</v>
      </c>
    </row>
    <row r="82" spans="1:7" x14ac:dyDescent="0.25">
      <c r="A82" s="81" t="s">
        <v>119</v>
      </c>
      <c r="B82" s="81">
        <f>B26</f>
        <v>2489.7600000000002</v>
      </c>
      <c r="C82" s="81"/>
      <c r="D82" s="81"/>
      <c r="E82" s="81">
        <f>E26</f>
        <v>10000</v>
      </c>
      <c r="F82" s="87"/>
      <c r="G82" s="81">
        <f>H26</f>
        <v>5000</v>
      </c>
    </row>
    <row r="83" spans="1:7" x14ac:dyDescent="0.25">
      <c r="A83" s="81" t="s">
        <v>120</v>
      </c>
      <c r="B83" s="81">
        <f>B18</f>
        <v>3576</v>
      </c>
      <c r="C83" s="81"/>
      <c r="D83" s="81"/>
      <c r="E83" s="81">
        <f>E18</f>
        <v>3500</v>
      </c>
      <c r="F83" s="87"/>
      <c r="G83" s="81">
        <f>H18</f>
        <v>3576</v>
      </c>
    </row>
    <row r="84" spans="1:7" x14ac:dyDescent="0.25">
      <c r="A84" s="81" t="s">
        <v>121</v>
      </c>
      <c r="B84" s="81">
        <f>B40</f>
        <v>204444.34</v>
      </c>
      <c r="C84" s="81"/>
      <c r="D84" s="81"/>
      <c r="E84" s="81">
        <f>E40</f>
        <v>227000</v>
      </c>
      <c r="F84" s="87"/>
      <c r="G84" s="81">
        <f>H40+H42</f>
        <v>270000</v>
      </c>
    </row>
    <row r="85" spans="1:7" x14ac:dyDescent="0.25">
      <c r="A85" s="81" t="s">
        <v>122</v>
      </c>
      <c r="B85" s="81">
        <f>B41</f>
        <v>62536.12</v>
      </c>
      <c r="C85" s="81"/>
      <c r="D85" s="81"/>
      <c r="E85" s="81">
        <f>E41</f>
        <v>60000</v>
      </c>
      <c r="F85" s="87"/>
      <c r="G85" s="81">
        <f>H41</f>
        <v>75000</v>
      </c>
    </row>
    <row r="86" spans="1:7" x14ac:dyDescent="0.25">
      <c r="A86" s="81" t="s">
        <v>123</v>
      </c>
      <c r="B86" s="81">
        <f>B37+B38</f>
        <v>2036.49</v>
      </c>
      <c r="C86" s="81"/>
      <c r="D86" s="81"/>
      <c r="E86" s="81">
        <f>E37+E38</f>
        <v>0</v>
      </c>
      <c r="F86" s="87"/>
      <c r="G86" s="81">
        <f>H37+H38</f>
        <v>2408</v>
      </c>
    </row>
    <row r="87" spans="1:7" x14ac:dyDescent="0.25">
      <c r="A87" s="81" t="s">
        <v>124</v>
      </c>
      <c r="B87" s="81">
        <f>B17+B24</f>
        <v>20439.989999999998</v>
      </c>
      <c r="C87" s="81"/>
      <c r="D87" s="81"/>
      <c r="E87" s="81">
        <f>E17+E24</f>
        <v>21940</v>
      </c>
      <c r="F87" s="87"/>
      <c r="G87" s="90">
        <f>H17+H24</f>
        <v>21940</v>
      </c>
    </row>
    <row r="88" spans="1:7" x14ac:dyDescent="0.25">
      <c r="A88" s="81" t="s">
        <v>131</v>
      </c>
      <c r="B88" s="81">
        <f>B30+B31+B32+B33+B34+B35+B25+B27</f>
        <v>26283.54</v>
      </c>
      <c r="C88" s="81"/>
      <c r="D88" s="81"/>
      <c r="E88" s="81">
        <f>E30+E31+E32+E33+E34+E35+E25+E27</f>
        <v>56076.5</v>
      </c>
      <c r="F88" s="87"/>
      <c r="G88" s="107">
        <f>H25+H27+H30+H34+H35</f>
        <v>20500</v>
      </c>
    </row>
    <row r="89" spans="1:7" ht="15.75" thickBot="1" x14ac:dyDescent="0.3">
      <c r="A89" s="83" t="s">
        <v>125</v>
      </c>
      <c r="B89" s="85">
        <f>SUM(B79:B88)</f>
        <v>638550.26</v>
      </c>
      <c r="C89" s="81"/>
      <c r="D89" s="81"/>
      <c r="E89" s="85">
        <f>SUM(E79:E88)</f>
        <v>758826.17999999993</v>
      </c>
      <c r="F89" s="87"/>
      <c r="G89" s="84">
        <f>SUM(G79:G88)</f>
        <v>774924</v>
      </c>
    </row>
    <row r="90" spans="1:7" ht="15.75" thickTop="1" x14ac:dyDescent="0.25">
      <c r="A90" s="81"/>
      <c r="B90" s="81"/>
      <c r="C90" s="81"/>
      <c r="D90" s="81"/>
      <c r="E90" s="81"/>
      <c r="F90" s="87"/>
      <c r="G90" s="81"/>
    </row>
    <row r="91" spans="1:7" ht="15.75" thickBot="1" x14ac:dyDescent="0.3">
      <c r="A91" s="81" t="s">
        <v>126</v>
      </c>
      <c r="B91" s="85">
        <f>B89+B76</f>
        <v>136819.70000000001</v>
      </c>
      <c r="C91" s="81"/>
      <c r="D91" s="81"/>
      <c r="E91" s="85">
        <f>E89+E76</f>
        <v>188300.17999999993</v>
      </c>
      <c r="F91" s="87"/>
      <c r="G91" s="84">
        <f>G76+G89</f>
        <v>244156</v>
      </c>
    </row>
    <row r="92" spans="1:7" ht="15.75" thickTop="1" x14ac:dyDescent="0.25">
      <c r="A92" s="81"/>
      <c r="B92" s="83"/>
      <c r="C92" s="81"/>
      <c r="D92" s="81"/>
      <c r="E92" s="83"/>
      <c r="F92" s="87"/>
      <c r="G92" s="81"/>
    </row>
    <row r="93" spans="1:7" x14ac:dyDescent="0.25">
      <c r="A93" s="81"/>
      <c r="B93" s="81"/>
      <c r="C93" s="81"/>
      <c r="D93" s="81"/>
      <c r="E93" s="81"/>
      <c r="F93" s="87"/>
      <c r="G93" s="81"/>
    </row>
    <row r="94" spans="1:7" x14ac:dyDescent="0.25">
      <c r="A94" s="81" t="s">
        <v>127</v>
      </c>
      <c r="B94" s="81">
        <f>B66+B76+B89</f>
        <v>-93817.699999999953</v>
      </c>
      <c r="C94" s="81"/>
      <c r="D94" s="81"/>
      <c r="E94" s="81">
        <f>E66+E76+E89</f>
        <v>-42337.220000000088</v>
      </c>
      <c r="F94" s="87"/>
      <c r="G94" s="81">
        <f>G66+G91</f>
        <v>13518.600000000006</v>
      </c>
    </row>
    <row r="95" spans="1:7" x14ac:dyDescent="0.25">
      <c r="A95" s="81" t="s">
        <v>128</v>
      </c>
      <c r="B95" s="86">
        <f>B94/B76</f>
        <v>0.18698821136189103</v>
      </c>
      <c r="C95" s="81"/>
      <c r="D95" s="81"/>
      <c r="E95" s="86">
        <f>E94/E76</f>
        <v>7.4207345502220912E-2</v>
      </c>
      <c r="F95" s="87"/>
      <c r="G95" s="108">
        <f>G94/G76</f>
        <v>-2.5469885147559775E-2</v>
      </c>
    </row>
    <row r="96" spans="1:7" x14ac:dyDescent="0.25">
      <c r="A96" s="81" t="s">
        <v>129</v>
      </c>
      <c r="B96" s="86">
        <f>B94/B67</f>
        <v>0.25251987747829213</v>
      </c>
      <c r="C96" s="81"/>
      <c r="D96" s="81"/>
      <c r="E96" s="86">
        <f>E94/E67</f>
        <v>0.11395493182173008</v>
      </c>
      <c r="F96" s="87"/>
      <c r="G96" s="108">
        <f>G94/G70</f>
        <v>-3.6168425333361884E-2</v>
      </c>
    </row>
    <row r="97" spans="1:7" x14ac:dyDescent="0.25">
      <c r="A97" s="81"/>
      <c r="B97" s="81"/>
      <c r="C97" s="81"/>
      <c r="D97" s="81"/>
      <c r="E97" s="81"/>
      <c r="F97" s="87"/>
      <c r="G97" s="81"/>
    </row>
    <row r="98" spans="1:7" x14ac:dyDescent="0.25">
      <c r="A98" s="81"/>
      <c r="B98" s="81"/>
      <c r="C98" s="81"/>
      <c r="D98" s="81"/>
      <c r="E98" s="81"/>
      <c r="F98" s="87"/>
      <c r="G98" s="81"/>
    </row>
    <row r="99" spans="1:7" x14ac:dyDescent="0.25">
      <c r="A99" s="81" t="s">
        <v>130</v>
      </c>
      <c r="B99" s="87">
        <f>B62</f>
        <v>32</v>
      </c>
      <c r="C99" s="81"/>
      <c r="D99" s="81"/>
      <c r="E99" s="87">
        <f>B99</f>
        <v>32</v>
      </c>
      <c r="F99" s="87"/>
      <c r="G99" s="87">
        <f>B62</f>
        <v>32</v>
      </c>
    </row>
    <row r="100" spans="1:7" x14ac:dyDescent="0.25">
      <c r="A100" s="81" t="s">
        <v>133</v>
      </c>
      <c r="B100" s="81">
        <f>-E7/B99</f>
        <v>11610.1875</v>
      </c>
      <c r="C100" s="81"/>
      <c r="D100" s="81"/>
      <c r="E100" s="81">
        <f>B100</f>
        <v>11610.1875</v>
      </c>
      <c r="F100" s="87"/>
      <c r="G100" s="81">
        <f>-G70/G99</f>
        <v>11680.25</v>
      </c>
    </row>
    <row r="101" spans="1:7" x14ac:dyDescent="0.25">
      <c r="A101" s="109" t="s">
        <v>140</v>
      </c>
      <c r="B101" s="34">
        <f>B89/B99</f>
        <v>19954.695625</v>
      </c>
      <c r="C101" s="34"/>
      <c r="D101" s="34"/>
      <c r="E101" s="34">
        <f>E89/E99</f>
        <v>23713.318124999998</v>
      </c>
      <c r="F101" s="34"/>
      <c r="G101" s="36">
        <f>G89/G99</f>
        <v>24216.375</v>
      </c>
    </row>
  </sheetData>
  <mergeCells count="18">
    <mergeCell ref="B4:B5"/>
    <mergeCell ref="C4:C5"/>
    <mergeCell ref="D4:D5"/>
    <mergeCell ref="E4:E5"/>
    <mergeCell ref="F4:F5"/>
    <mergeCell ref="K18:V18"/>
    <mergeCell ref="K24:V24"/>
    <mergeCell ref="K30:V30"/>
    <mergeCell ref="K31:K36"/>
    <mergeCell ref="C1:D1"/>
    <mergeCell ref="K11:V11"/>
    <mergeCell ref="K12:V12"/>
    <mergeCell ref="K14:V14"/>
    <mergeCell ref="K17:V17"/>
    <mergeCell ref="H4:H5"/>
    <mergeCell ref="I4:I5"/>
    <mergeCell ref="J4:J5"/>
    <mergeCell ref="G4:G5"/>
  </mergeCells>
  <conditionalFormatting sqref="D45:E45">
    <cfRule type="cellIs" dxfId="390" priority="7" operator="lessThan">
      <formula>0</formula>
    </cfRule>
    <cfRule type="cellIs" dxfId="389" priority="8" operator="greaterThan">
      <formula>0</formula>
    </cfRule>
  </conditionalFormatting>
  <conditionalFormatting sqref="D46:E46 H46">
    <cfRule type="cellIs" dxfId="386" priority="3" operator="lessThan">
      <formula>0</formula>
    </cfRule>
    <cfRule type="cellIs" dxfId="385" priority="4" operator="greaterThan">
      <formula>0</formula>
    </cfRule>
  </conditionalFormatting>
  <conditionalFormatting sqref="H45">
    <cfRule type="cellIs" dxfId="382" priority="1" operator="lessThan">
      <formula>0</formula>
    </cfRule>
    <cfRule type="cellIs" dxfId="381" priority="2" operator="greaterThan">
      <formula>0</formula>
    </cfRule>
  </conditionalFormatting>
  <pageMargins left="0.7" right="0.7" top="0.75" bottom="0.75" header="0.3" footer="0.3"/>
  <pageSetup scale="44"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4E258-AA53-4A50-B481-205F8B21D791}">
  <dimension ref="A1:V101"/>
  <sheetViews>
    <sheetView topLeftCell="A16" workbookViewId="0">
      <selection activeCell="G101" sqref="G101"/>
    </sheetView>
  </sheetViews>
  <sheetFormatPr defaultRowHeight="15" x14ac:dyDescent="0.25"/>
  <cols>
    <col min="1" max="1" width="44.42578125" style="1" customWidth="1"/>
    <col min="2" max="6" width="12.28515625" style="39" customWidth="1"/>
    <col min="7" max="7" width="12.28515625" style="4" customWidth="1"/>
    <col min="8" max="9" width="12.28515625" customWidth="1"/>
    <col min="10" max="10" width="12.28515625" style="4" customWidth="1"/>
    <col min="11" max="11" width="20.85546875" customWidth="1"/>
  </cols>
  <sheetData>
    <row r="1" spans="1:22" ht="78.75" customHeight="1" x14ac:dyDescent="0.25">
      <c r="C1" s="106" t="s">
        <v>48</v>
      </c>
      <c r="D1" s="106"/>
      <c r="E1" s="40" t="s">
        <v>97</v>
      </c>
      <c r="K1" t="s">
        <v>136</v>
      </c>
    </row>
    <row r="2" spans="1:22" x14ac:dyDescent="0.25">
      <c r="A2" s="1" t="s">
        <v>49</v>
      </c>
      <c r="B2" s="40" t="s">
        <v>138</v>
      </c>
      <c r="C2" s="19">
        <v>2022</v>
      </c>
      <c r="E2" s="39" t="s">
        <v>137</v>
      </c>
    </row>
    <row r="3" spans="1:22" x14ac:dyDescent="0.25">
      <c r="A3" s="26" t="s">
        <v>85</v>
      </c>
      <c r="B3" s="41"/>
      <c r="C3" s="41"/>
    </row>
    <row r="4" spans="1:22" ht="45" customHeight="1" x14ac:dyDescent="0.25">
      <c r="B4" s="105" t="s">
        <v>0</v>
      </c>
      <c r="C4" s="105" t="s">
        <v>1</v>
      </c>
      <c r="D4" s="105" t="s">
        <v>2</v>
      </c>
      <c r="E4" s="105" t="s">
        <v>3</v>
      </c>
      <c r="F4" s="105" t="s">
        <v>33</v>
      </c>
      <c r="G4" s="102" t="s">
        <v>35</v>
      </c>
      <c r="H4" s="101" t="s">
        <v>4</v>
      </c>
      <c r="I4" s="101" t="s">
        <v>5</v>
      </c>
      <c r="J4" s="102" t="s">
        <v>34</v>
      </c>
    </row>
    <row r="5" spans="1:22" x14ac:dyDescent="0.25">
      <c r="A5" s="1" t="s">
        <v>13</v>
      </c>
      <c r="B5" s="105"/>
      <c r="C5" s="105"/>
      <c r="D5" s="105"/>
      <c r="E5" s="105"/>
      <c r="F5" s="105"/>
      <c r="G5" s="102"/>
      <c r="H5" s="101"/>
      <c r="I5" s="101"/>
      <c r="J5" s="102"/>
      <c r="K5" s="20" t="s">
        <v>56</v>
      </c>
      <c r="L5" s="20"/>
      <c r="M5" s="20"/>
      <c r="N5" s="20"/>
      <c r="O5" s="20"/>
      <c r="P5" s="20"/>
      <c r="Q5" s="20"/>
      <c r="R5" s="20"/>
      <c r="S5" s="20"/>
      <c r="T5" s="20"/>
      <c r="U5" s="20"/>
      <c r="V5" s="20"/>
    </row>
    <row r="6" spans="1:22" x14ac:dyDescent="0.25">
      <c r="A6" s="1" t="s">
        <v>38</v>
      </c>
      <c r="B6" s="42">
        <v>-79120</v>
      </c>
      <c r="C6" s="43"/>
      <c r="D6" s="44">
        <f>B6+C6</f>
        <v>-79120</v>
      </c>
      <c r="E6" s="45">
        <v>-79120</v>
      </c>
      <c r="F6" s="46">
        <f>E6-D6</f>
        <v>0</v>
      </c>
      <c r="G6" s="33">
        <f>D6/E6%</f>
        <v>100</v>
      </c>
      <c r="H6" s="23">
        <v>-79120</v>
      </c>
      <c r="I6" s="35">
        <f>E6-H6</f>
        <v>0</v>
      </c>
      <c r="J6" s="36">
        <f>H6/E6%</f>
        <v>100</v>
      </c>
      <c r="K6" s="20" t="s">
        <v>54</v>
      </c>
      <c r="L6" s="20"/>
      <c r="M6" s="20"/>
      <c r="N6" s="20"/>
      <c r="O6" s="20"/>
      <c r="P6" s="20"/>
      <c r="Q6" s="20"/>
      <c r="R6" s="20"/>
      <c r="S6" s="20"/>
      <c r="T6" s="20"/>
      <c r="U6" s="20"/>
      <c r="V6" s="20"/>
    </row>
    <row r="7" spans="1:22" x14ac:dyDescent="0.25">
      <c r="A7" s="2" t="s">
        <v>6</v>
      </c>
      <c r="B7" s="42">
        <v>-320870</v>
      </c>
      <c r="C7" s="43"/>
      <c r="D7" s="44">
        <f t="shared" ref="D7:D42" si="0">B7+C7</f>
        <v>-320870</v>
      </c>
      <c r="E7" s="45">
        <v>-319261</v>
      </c>
      <c r="F7" s="46">
        <f t="shared" ref="F7:F42" si="1">E7-D7</f>
        <v>1609</v>
      </c>
      <c r="G7" s="33">
        <f t="shared" ref="G7:G42" si="2">D7/E7%</f>
        <v>100.50397637043046</v>
      </c>
      <c r="H7" s="23">
        <v>-320870</v>
      </c>
      <c r="I7" s="35">
        <f t="shared" ref="I7:I42" si="3">E7-H7</f>
        <v>1609</v>
      </c>
      <c r="J7" s="36">
        <f t="shared" ref="J7:J42" si="4">H7/E7%</f>
        <v>100.50397637043046</v>
      </c>
      <c r="K7" s="20" t="s">
        <v>79</v>
      </c>
      <c r="L7" s="20"/>
      <c r="M7" s="20"/>
      <c r="N7" s="20"/>
      <c r="O7" s="20"/>
      <c r="P7" s="20"/>
      <c r="Q7" s="20"/>
      <c r="R7" s="20"/>
      <c r="S7" s="20"/>
      <c r="T7" s="20"/>
      <c r="U7" s="20"/>
      <c r="V7" s="20"/>
    </row>
    <row r="8" spans="1:22" x14ac:dyDescent="0.25">
      <c r="A8" s="2" t="s">
        <v>7</v>
      </c>
      <c r="B8" s="42">
        <v>-25235</v>
      </c>
      <c r="C8" s="43"/>
      <c r="D8" s="44">
        <f t="shared" si="0"/>
        <v>-25235</v>
      </c>
      <c r="E8" s="45">
        <v>-51000</v>
      </c>
      <c r="F8" s="46">
        <f t="shared" si="1"/>
        <v>-25765</v>
      </c>
      <c r="G8" s="33">
        <f t="shared" si="2"/>
        <v>49.480392156862742</v>
      </c>
      <c r="H8" s="23">
        <v>-33422</v>
      </c>
      <c r="I8" s="35">
        <f t="shared" si="3"/>
        <v>-17578</v>
      </c>
      <c r="J8" s="36">
        <f t="shared" si="4"/>
        <v>65.533333333333331</v>
      </c>
      <c r="K8" s="20" t="s">
        <v>55</v>
      </c>
      <c r="L8" s="20"/>
      <c r="M8" s="20"/>
      <c r="N8" s="20"/>
      <c r="O8" s="20"/>
      <c r="P8" s="20"/>
      <c r="Q8" s="20"/>
      <c r="R8" s="20"/>
      <c r="S8" s="20"/>
      <c r="T8" s="20"/>
      <c r="U8" s="20"/>
      <c r="V8" s="20"/>
    </row>
    <row r="9" spans="1:22" x14ac:dyDescent="0.25">
      <c r="A9" s="2" t="s">
        <v>8</v>
      </c>
      <c r="B9" s="42"/>
      <c r="C9" s="43"/>
      <c r="D9" s="44">
        <f t="shared" si="0"/>
        <v>0</v>
      </c>
      <c r="E9" s="45">
        <v>0</v>
      </c>
      <c r="F9" s="46">
        <f t="shared" si="1"/>
        <v>0</v>
      </c>
      <c r="G9" s="33" t="e">
        <f t="shared" si="2"/>
        <v>#DIV/0!</v>
      </c>
      <c r="H9" s="23"/>
      <c r="I9" s="35">
        <f t="shared" si="3"/>
        <v>0</v>
      </c>
      <c r="J9" s="36" t="e">
        <f t="shared" si="4"/>
        <v>#DIV/0!</v>
      </c>
      <c r="K9" s="20"/>
      <c r="L9" s="20"/>
      <c r="M9" s="20"/>
      <c r="N9" s="20"/>
      <c r="O9" s="20"/>
      <c r="P9" s="20"/>
      <c r="Q9" s="20"/>
      <c r="R9" s="20"/>
      <c r="S9" s="20"/>
      <c r="T9" s="20"/>
      <c r="U9" s="20"/>
      <c r="V9" s="20"/>
    </row>
    <row r="10" spans="1:22" x14ac:dyDescent="0.25">
      <c r="A10" s="2" t="s">
        <v>9</v>
      </c>
      <c r="B10" s="42">
        <v>-30435</v>
      </c>
      <c r="C10" s="43"/>
      <c r="D10" s="44">
        <f t="shared" si="0"/>
        <v>-30435</v>
      </c>
      <c r="E10" s="45">
        <v>-30435</v>
      </c>
      <c r="F10" s="46">
        <f t="shared" si="1"/>
        <v>0</v>
      </c>
      <c r="G10" s="33">
        <f t="shared" si="2"/>
        <v>99.999999999999986</v>
      </c>
      <c r="H10" s="23">
        <v>-30435</v>
      </c>
      <c r="I10" s="35">
        <f t="shared" si="3"/>
        <v>0</v>
      </c>
      <c r="J10" s="36">
        <f t="shared" si="4"/>
        <v>99.999999999999986</v>
      </c>
      <c r="K10" s="20" t="s">
        <v>65</v>
      </c>
      <c r="L10" s="20"/>
      <c r="M10" s="20"/>
      <c r="N10" s="20"/>
      <c r="O10" s="20"/>
      <c r="P10" s="20"/>
      <c r="Q10" s="20"/>
      <c r="R10" s="20"/>
      <c r="S10" s="20"/>
      <c r="T10" s="20"/>
      <c r="U10" s="20"/>
      <c r="V10" s="20"/>
    </row>
    <row r="11" spans="1:22" ht="30" x14ac:dyDescent="0.25">
      <c r="A11" s="2" t="s">
        <v>10</v>
      </c>
      <c r="B11" s="42">
        <v>-124742</v>
      </c>
      <c r="C11" s="43">
        <v>-10138</v>
      </c>
      <c r="D11" s="44">
        <f t="shared" si="0"/>
        <v>-134880</v>
      </c>
      <c r="E11" s="45">
        <v>-125000</v>
      </c>
      <c r="F11" s="46">
        <f t="shared" si="1"/>
        <v>9880</v>
      </c>
      <c r="G11" s="33">
        <f t="shared" si="2"/>
        <v>107.904</v>
      </c>
      <c r="H11" s="23">
        <v>-134880</v>
      </c>
      <c r="I11" s="35">
        <f t="shared" si="3"/>
        <v>9880</v>
      </c>
      <c r="J11" s="36">
        <f t="shared" si="4"/>
        <v>107.904</v>
      </c>
      <c r="K11" s="103" t="s">
        <v>80</v>
      </c>
      <c r="L11" s="103"/>
      <c r="M11" s="103"/>
      <c r="N11" s="103"/>
      <c r="O11" s="103"/>
      <c r="P11" s="103"/>
      <c r="Q11" s="103"/>
      <c r="R11" s="103"/>
      <c r="S11" s="103"/>
      <c r="T11" s="103"/>
      <c r="U11" s="103"/>
      <c r="V11" s="103"/>
    </row>
    <row r="12" spans="1:22" ht="30" x14ac:dyDescent="0.25">
      <c r="A12" s="2" t="s">
        <v>11</v>
      </c>
      <c r="B12" s="42">
        <v>-21997</v>
      </c>
      <c r="C12" s="43">
        <v>-7995</v>
      </c>
      <c r="D12" s="44">
        <f t="shared" si="0"/>
        <v>-29992</v>
      </c>
      <c r="E12" s="45">
        <v>-27000</v>
      </c>
      <c r="F12" s="46">
        <f t="shared" si="1"/>
        <v>2992</v>
      </c>
      <c r="G12" s="33">
        <f t="shared" si="2"/>
        <v>111.08148148148148</v>
      </c>
      <c r="H12" s="23">
        <v>-29992</v>
      </c>
      <c r="I12" s="35">
        <f t="shared" si="3"/>
        <v>2992</v>
      </c>
      <c r="J12" s="36">
        <f t="shared" si="4"/>
        <v>111.08148148148148</v>
      </c>
      <c r="K12" s="103" t="s">
        <v>81</v>
      </c>
      <c r="L12" s="103"/>
      <c r="M12" s="103"/>
      <c r="N12" s="103"/>
      <c r="O12" s="103"/>
      <c r="P12" s="103"/>
      <c r="Q12" s="103"/>
      <c r="R12" s="103"/>
      <c r="S12" s="103"/>
      <c r="T12" s="103"/>
      <c r="U12" s="103"/>
      <c r="V12" s="103"/>
    </row>
    <row r="13" spans="1:22" x14ac:dyDescent="0.25">
      <c r="A13" s="2"/>
      <c r="B13" s="42"/>
      <c r="C13" s="43"/>
      <c r="D13" s="44"/>
      <c r="E13" s="45"/>
      <c r="F13" s="46"/>
      <c r="G13" s="33"/>
      <c r="H13" s="23"/>
      <c r="I13" s="35">
        <f t="shared" si="3"/>
        <v>0</v>
      </c>
      <c r="J13" s="36" t="e">
        <f t="shared" si="4"/>
        <v>#DIV/0!</v>
      </c>
      <c r="K13" s="20"/>
      <c r="L13" s="20"/>
      <c r="M13" s="20"/>
      <c r="N13" s="20"/>
      <c r="O13" s="20"/>
      <c r="P13" s="20"/>
      <c r="Q13" s="20"/>
      <c r="R13" s="20"/>
      <c r="S13" s="20"/>
      <c r="T13" s="20"/>
      <c r="U13" s="20"/>
      <c r="V13" s="20"/>
    </row>
    <row r="14" spans="1:22" x14ac:dyDescent="0.25">
      <c r="A14" s="12" t="s">
        <v>53</v>
      </c>
      <c r="B14" s="47"/>
      <c r="C14" s="47"/>
      <c r="D14" s="48">
        <f>SUM(D7:D13)</f>
        <v>-541412</v>
      </c>
      <c r="E14" s="48">
        <f>SUM(E7:E13)</f>
        <v>-552696</v>
      </c>
      <c r="F14" s="47">
        <f t="shared" si="1"/>
        <v>-11284</v>
      </c>
      <c r="G14" s="38">
        <f t="shared" si="2"/>
        <v>97.958371328904136</v>
      </c>
      <c r="H14" s="15">
        <f>SUM(H7:H12)</f>
        <v>-549599</v>
      </c>
      <c r="I14" s="9">
        <f t="shared" si="3"/>
        <v>-3097</v>
      </c>
      <c r="J14" s="38">
        <f t="shared" si="4"/>
        <v>99.439655796314796</v>
      </c>
      <c r="K14" s="104" t="s">
        <v>57</v>
      </c>
      <c r="L14" s="104"/>
      <c r="M14" s="104"/>
      <c r="N14" s="104"/>
      <c r="O14" s="104"/>
      <c r="P14" s="104"/>
      <c r="Q14" s="104"/>
      <c r="R14" s="104"/>
      <c r="S14" s="104"/>
      <c r="T14" s="104"/>
      <c r="U14" s="104"/>
      <c r="V14" s="104"/>
    </row>
    <row r="15" spans="1:22" x14ac:dyDescent="0.25">
      <c r="A15" s="13" t="s">
        <v>58</v>
      </c>
      <c r="B15" s="47">
        <f>SUM(B6:B13)</f>
        <v>-602399</v>
      </c>
      <c r="C15" s="47">
        <f>SUM(C6:C13)</f>
        <v>-18133</v>
      </c>
      <c r="D15" s="47">
        <f t="shared" si="0"/>
        <v>-620532</v>
      </c>
      <c r="E15" s="48">
        <f>SUM(E6:E13)</f>
        <v>-631816</v>
      </c>
      <c r="F15" s="47">
        <f t="shared" si="1"/>
        <v>-11284</v>
      </c>
      <c r="G15" s="38">
        <f t="shared" si="2"/>
        <v>98.214036998113372</v>
      </c>
      <c r="H15" s="15">
        <f>SUM(H6:H12)</f>
        <v>-628719</v>
      </c>
      <c r="I15" s="9">
        <f t="shared" si="3"/>
        <v>-3097</v>
      </c>
      <c r="J15" s="38">
        <f t="shared" si="4"/>
        <v>99.509825645441083</v>
      </c>
      <c r="K15" s="20" t="s">
        <v>59</v>
      </c>
      <c r="L15" s="20"/>
      <c r="M15" s="20"/>
      <c r="N15" s="20"/>
      <c r="O15" s="20"/>
      <c r="P15" s="20"/>
      <c r="Q15" s="20"/>
      <c r="R15" s="20"/>
      <c r="S15" s="20"/>
      <c r="T15" s="20"/>
      <c r="U15" s="20"/>
      <c r="V15" s="20"/>
    </row>
    <row r="16" spans="1:22" x14ac:dyDescent="0.25">
      <c r="A16" s="5"/>
      <c r="B16" s="49"/>
      <c r="C16" s="49"/>
      <c r="D16" s="49"/>
      <c r="E16" s="50"/>
      <c r="F16" s="49"/>
      <c r="G16" s="37"/>
      <c r="H16" s="16"/>
      <c r="I16" s="7"/>
      <c r="J16" s="37"/>
      <c r="K16" s="20"/>
      <c r="L16" s="20"/>
      <c r="M16" s="20"/>
      <c r="N16" s="20"/>
      <c r="O16" s="20"/>
      <c r="P16" s="20"/>
      <c r="Q16" s="20"/>
      <c r="R16" s="20"/>
      <c r="S16" s="20"/>
      <c r="T16" s="20"/>
      <c r="U16" s="20"/>
      <c r="V16" s="20"/>
    </row>
    <row r="17" spans="1:22" x14ac:dyDescent="0.25">
      <c r="A17" s="2" t="s">
        <v>72</v>
      </c>
      <c r="B17" s="42">
        <v>11480</v>
      </c>
      <c r="C17" s="43">
        <v>4100</v>
      </c>
      <c r="D17" s="44">
        <f t="shared" si="0"/>
        <v>15580</v>
      </c>
      <c r="E17" s="45">
        <v>15580</v>
      </c>
      <c r="F17" s="46">
        <f t="shared" si="1"/>
        <v>0</v>
      </c>
      <c r="G17" s="33">
        <f t="shared" si="2"/>
        <v>99.999999999999986</v>
      </c>
      <c r="H17" s="23">
        <v>15580</v>
      </c>
      <c r="I17" s="35">
        <f t="shared" si="3"/>
        <v>0</v>
      </c>
      <c r="J17" s="36">
        <f t="shared" si="4"/>
        <v>99.999999999999986</v>
      </c>
      <c r="K17" s="104" t="s">
        <v>60</v>
      </c>
      <c r="L17" s="104"/>
      <c r="M17" s="104"/>
      <c r="N17" s="104"/>
      <c r="O17" s="104"/>
      <c r="P17" s="104"/>
      <c r="Q17" s="104"/>
      <c r="R17" s="104"/>
      <c r="S17" s="104"/>
      <c r="T17" s="104"/>
      <c r="U17" s="104"/>
      <c r="V17" s="104"/>
    </row>
    <row r="18" spans="1:22" x14ac:dyDescent="0.25">
      <c r="A18" s="2" t="s">
        <v>73</v>
      </c>
      <c r="B18" s="42">
        <v>2384</v>
      </c>
      <c r="C18" s="43">
        <v>1192</v>
      </c>
      <c r="D18" s="44">
        <f t="shared" si="0"/>
        <v>3576</v>
      </c>
      <c r="E18" s="45">
        <v>3576</v>
      </c>
      <c r="F18" s="46">
        <f t="shared" si="1"/>
        <v>0</v>
      </c>
      <c r="G18" s="33">
        <f t="shared" si="2"/>
        <v>100</v>
      </c>
      <c r="H18" s="23">
        <v>3576</v>
      </c>
      <c r="I18" s="35">
        <f t="shared" si="3"/>
        <v>0</v>
      </c>
      <c r="J18" s="36">
        <f t="shared" si="4"/>
        <v>100</v>
      </c>
      <c r="K18" s="104" t="s">
        <v>50</v>
      </c>
      <c r="L18" s="104"/>
      <c r="M18" s="104"/>
      <c r="N18" s="104"/>
      <c r="O18" s="104"/>
      <c r="P18" s="104"/>
      <c r="Q18" s="104"/>
      <c r="R18" s="104"/>
      <c r="S18" s="104"/>
      <c r="T18" s="104"/>
      <c r="U18" s="104"/>
      <c r="V18" s="104"/>
    </row>
    <row r="19" spans="1:22" x14ac:dyDescent="0.25">
      <c r="A19" s="5" t="s">
        <v>14</v>
      </c>
      <c r="B19" s="49"/>
      <c r="C19" s="49"/>
      <c r="D19" s="49"/>
      <c r="E19" s="50"/>
      <c r="F19" s="49"/>
      <c r="G19" s="37"/>
      <c r="H19" s="16"/>
      <c r="I19" s="7"/>
      <c r="J19" s="37"/>
      <c r="K19" s="20"/>
      <c r="L19" s="20"/>
      <c r="M19" s="20"/>
      <c r="N19" s="20"/>
      <c r="O19" s="20"/>
      <c r="P19" s="20"/>
      <c r="Q19" s="20"/>
      <c r="R19" s="20"/>
      <c r="S19" s="20"/>
      <c r="T19" s="20"/>
      <c r="U19" s="20"/>
      <c r="V19" s="20"/>
    </row>
    <row r="20" spans="1:22" x14ac:dyDescent="0.25">
      <c r="A20" s="2" t="s">
        <v>15</v>
      </c>
      <c r="B20" s="42">
        <v>26871</v>
      </c>
      <c r="C20" s="43">
        <v>7812</v>
      </c>
      <c r="D20" s="44">
        <f t="shared" si="0"/>
        <v>34683</v>
      </c>
      <c r="E20" s="45">
        <v>42568</v>
      </c>
      <c r="F20" s="46">
        <f t="shared" si="1"/>
        <v>7885</v>
      </c>
      <c r="G20" s="33">
        <f t="shared" si="2"/>
        <v>81.476696109753803</v>
      </c>
      <c r="H20" s="23">
        <v>40000</v>
      </c>
      <c r="I20" s="35">
        <f t="shared" si="3"/>
        <v>2568</v>
      </c>
      <c r="J20" s="36">
        <f t="shared" si="4"/>
        <v>93.967299379815827</v>
      </c>
      <c r="K20" s="20" t="s">
        <v>61</v>
      </c>
      <c r="L20" s="20"/>
      <c r="M20" s="20"/>
      <c r="N20" s="20"/>
      <c r="O20" s="20"/>
      <c r="P20" s="20"/>
      <c r="Q20" s="20"/>
      <c r="R20" s="20"/>
      <c r="S20" s="20"/>
      <c r="T20" s="20"/>
      <c r="U20" s="20"/>
      <c r="V20" s="20"/>
    </row>
    <row r="21" spans="1:22" x14ac:dyDescent="0.25">
      <c r="A21" s="2" t="s">
        <v>16</v>
      </c>
      <c r="B21" s="42">
        <v>82769</v>
      </c>
      <c r="C21" s="43">
        <v>33118</v>
      </c>
      <c r="D21" s="44">
        <f t="shared" si="0"/>
        <v>115887</v>
      </c>
      <c r="E21" s="45">
        <v>126467</v>
      </c>
      <c r="F21" s="46">
        <f t="shared" si="1"/>
        <v>10580</v>
      </c>
      <c r="G21" s="33">
        <f t="shared" si="2"/>
        <v>91.634181248863328</v>
      </c>
      <c r="H21" s="23">
        <v>120000</v>
      </c>
      <c r="I21" s="35">
        <f t="shared" si="3"/>
        <v>6467</v>
      </c>
      <c r="J21" s="36">
        <f t="shared" si="4"/>
        <v>94.886413056370429</v>
      </c>
      <c r="K21" s="20" t="s">
        <v>61</v>
      </c>
      <c r="L21" s="20"/>
      <c r="M21" s="20"/>
      <c r="N21" s="20"/>
      <c r="O21" s="20"/>
      <c r="P21" s="20"/>
      <c r="Q21" s="20"/>
      <c r="R21" s="20"/>
      <c r="S21" s="20"/>
      <c r="T21" s="20"/>
      <c r="U21" s="20"/>
      <c r="V21" s="20"/>
    </row>
    <row r="22" spans="1:22" x14ac:dyDescent="0.25">
      <c r="A22" s="2" t="s">
        <v>17</v>
      </c>
      <c r="B22" s="42">
        <v>1030</v>
      </c>
      <c r="C22" s="43"/>
      <c r="D22" s="44">
        <f t="shared" si="0"/>
        <v>1030</v>
      </c>
      <c r="E22" s="45">
        <v>3000</v>
      </c>
      <c r="F22" s="46">
        <f t="shared" si="1"/>
        <v>1970</v>
      </c>
      <c r="G22" s="33">
        <f t="shared" si="2"/>
        <v>34.333333333333336</v>
      </c>
      <c r="H22" s="23">
        <v>2000</v>
      </c>
      <c r="I22" s="35">
        <f t="shared" si="3"/>
        <v>1000</v>
      </c>
      <c r="J22" s="36">
        <f t="shared" si="4"/>
        <v>66.666666666666671</v>
      </c>
      <c r="K22" s="20"/>
      <c r="L22" s="20"/>
      <c r="M22" s="20"/>
      <c r="N22" s="20"/>
      <c r="O22" s="20"/>
      <c r="P22" s="20"/>
      <c r="Q22" s="20"/>
      <c r="R22" s="20"/>
      <c r="S22" s="20"/>
      <c r="T22" s="20"/>
      <c r="U22" s="20"/>
      <c r="V22" s="20"/>
    </row>
    <row r="23" spans="1:22" x14ac:dyDescent="0.25">
      <c r="A23" s="5" t="s">
        <v>82</v>
      </c>
      <c r="B23" s="49"/>
      <c r="C23" s="49"/>
      <c r="D23" s="49"/>
      <c r="E23" s="50"/>
      <c r="F23" s="49"/>
      <c r="G23" s="37"/>
      <c r="H23" s="16"/>
      <c r="I23" s="7"/>
      <c r="J23" s="37"/>
      <c r="K23" s="20"/>
      <c r="L23" s="20"/>
      <c r="M23" s="20"/>
      <c r="N23" s="20"/>
      <c r="O23" s="20"/>
      <c r="P23" s="20"/>
      <c r="Q23" s="20"/>
      <c r="R23" s="20"/>
      <c r="S23" s="20"/>
      <c r="T23" s="20"/>
      <c r="U23" s="20"/>
      <c r="V23" s="20"/>
    </row>
    <row r="24" spans="1:22" ht="30" x14ac:dyDescent="0.25">
      <c r="A24" s="2" t="s">
        <v>39</v>
      </c>
      <c r="B24" s="42">
        <v>1400</v>
      </c>
      <c r="C24" s="43">
        <v>500</v>
      </c>
      <c r="D24" s="44">
        <f t="shared" si="0"/>
        <v>1900</v>
      </c>
      <c r="E24" s="45">
        <v>1900</v>
      </c>
      <c r="F24" s="46">
        <f t="shared" si="1"/>
        <v>0</v>
      </c>
      <c r="G24" s="33">
        <f t="shared" si="2"/>
        <v>100</v>
      </c>
      <c r="H24" s="23">
        <v>1900</v>
      </c>
      <c r="I24" s="35">
        <f t="shared" si="3"/>
        <v>0</v>
      </c>
      <c r="J24" s="36">
        <f t="shared" si="4"/>
        <v>100</v>
      </c>
      <c r="K24" s="103" t="s">
        <v>84</v>
      </c>
      <c r="L24" s="103"/>
      <c r="M24" s="103"/>
      <c r="N24" s="103"/>
      <c r="O24" s="103"/>
      <c r="P24" s="103"/>
      <c r="Q24" s="103"/>
      <c r="R24" s="103"/>
      <c r="S24" s="103"/>
      <c r="T24" s="103"/>
      <c r="U24" s="103"/>
      <c r="V24" s="103"/>
    </row>
    <row r="25" spans="1:22" x14ac:dyDescent="0.25">
      <c r="A25" s="2" t="s">
        <v>18</v>
      </c>
      <c r="B25" s="42">
        <v>977</v>
      </c>
      <c r="C25" s="43">
        <v>133</v>
      </c>
      <c r="D25" s="44">
        <f t="shared" si="0"/>
        <v>1110</v>
      </c>
      <c r="E25" s="45">
        <v>5000</v>
      </c>
      <c r="F25" s="46">
        <f t="shared" si="1"/>
        <v>3890</v>
      </c>
      <c r="G25" s="33">
        <f t="shared" si="2"/>
        <v>22.2</v>
      </c>
      <c r="H25" s="23">
        <v>2000</v>
      </c>
      <c r="I25" s="35">
        <f t="shared" si="3"/>
        <v>3000</v>
      </c>
      <c r="J25" s="36">
        <f t="shared" si="4"/>
        <v>40</v>
      </c>
      <c r="K25" s="20" t="s">
        <v>62</v>
      </c>
      <c r="L25" s="20"/>
      <c r="M25" s="20"/>
      <c r="N25" s="20"/>
      <c r="O25" s="20"/>
      <c r="P25" s="20"/>
      <c r="Q25" s="20"/>
      <c r="R25" s="20"/>
      <c r="S25" s="20"/>
      <c r="T25" s="20"/>
      <c r="U25" s="20"/>
      <c r="V25" s="20"/>
    </row>
    <row r="26" spans="1:22" x14ac:dyDescent="0.25">
      <c r="A26" s="2" t="s">
        <v>19</v>
      </c>
      <c r="B26" s="42">
        <v>3505</v>
      </c>
      <c r="C26" s="43"/>
      <c r="D26" s="44">
        <f t="shared" si="0"/>
        <v>3505</v>
      </c>
      <c r="E26" s="45">
        <v>5000</v>
      </c>
      <c r="F26" s="46">
        <f t="shared" si="1"/>
        <v>1495</v>
      </c>
      <c r="G26" s="33">
        <f t="shared" si="2"/>
        <v>70.099999999999994</v>
      </c>
      <c r="H26" s="23">
        <v>5000</v>
      </c>
      <c r="I26" s="35">
        <f t="shared" si="3"/>
        <v>0</v>
      </c>
      <c r="J26" s="36">
        <f t="shared" si="4"/>
        <v>100</v>
      </c>
      <c r="K26" s="20"/>
      <c r="L26" s="20"/>
      <c r="M26" s="20"/>
      <c r="N26" s="20"/>
      <c r="O26" s="20"/>
      <c r="P26" s="20"/>
      <c r="Q26" s="20"/>
      <c r="R26" s="20"/>
      <c r="S26" s="20"/>
      <c r="T26" s="20"/>
      <c r="U26" s="20"/>
      <c r="V26" s="20"/>
    </row>
    <row r="27" spans="1:22" x14ac:dyDescent="0.25">
      <c r="A27" s="2" t="s">
        <v>75</v>
      </c>
      <c r="B27" s="42">
        <v>902</v>
      </c>
      <c r="C27" s="43">
        <v>21</v>
      </c>
      <c r="D27" s="44">
        <f t="shared" si="0"/>
        <v>923</v>
      </c>
      <c r="E27" s="45">
        <v>20000</v>
      </c>
      <c r="F27" s="46">
        <f t="shared" si="1"/>
        <v>19077</v>
      </c>
      <c r="G27" s="33">
        <f t="shared" si="2"/>
        <v>4.6150000000000002</v>
      </c>
      <c r="H27" s="23">
        <v>2000</v>
      </c>
      <c r="I27" s="35">
        <f t="shared" si="3"/>
        <v>18000</v>
      </c>
      <c r="J27" s="36">
        <f t="shared" si="4"/>
        <v>10</v>
      </c>
      <c r="K27" s="20" t="s">
        <v>83</v>
      </c>
      <c r="L27" s="20"/>
      <c r="M27" s="20"/>
      <c r="N27" s="20"/>
      <c r="O27" s="20"/>
      <c r="P27" s="20"/>
      <c r="Q27" s="20"/>
      <c r="R27" s="20"/>
      <c r="S27" s="20"/>
      <c r="T27" s="20"/>
      <c r="U27" s="20"/>
      <c r="V27" s="20"/>
    </row>
    <row r="28" spans="1:22" x14ac:dyDescent="0.25">
      <c r="A28" s="2" t="s">
        <v>12</v>
      </c>
      <c r="B28" s="42">
        <v>6364</v>
      </c>
      <c r="C28" s="43">
        <v>175</v>
      </c>
      <c r="D28" s="44">
        <f t="shared" si="0"/>
        <v>6539</v>
      </c>
      <c r="E28" s="45">
        <v>8000</v>
      </c>
      <c r="F28" s="46">
        <f t="shared" si="1"/>
        <v>1461</v>
      </c>
      <c r="G28" s="33">
        <f t="shared" si="2"/>
        <v>81.737499999999997</v>
      </c>
      <c r="H28" s="23">
        <v>7000</v>
      </c>
      <c r="I28" s="35">
        <f t="shared" si="3"/>
        <v>1000</v>
      </c>
      <c r="J28" s="36">
        <f t="shared" si="4"/>
        <v>87.5</v>
      </c>
      <c r="K28" s="20" t="s">
        <v>78</v>
      </c>
      <c r="L28" s="20"/>
      <c r="M28" s="20"/>
      <c r="N28" s="20"/>
      <c r="O28" s="20"/>
      <c r="P28" s="20"/>
      <c r="Q28" s="20"/>
      <c r="R28" s="20"/>
      <c r="S28" s="20"/>
      <c r="T28" s="20"/>
      <c r="U28" s="20"/>
      <c r="V28" s="20"/>
    </row>
    <row r="29" spans="1:22" x14ac:dyDescent="0.25">
      <c r="A29" s="5" t="s">
        <v>30</v>
      </c>
      <c r="B29" s="49"/>
      <c r="C29" s="49"/>
      <c r="D29" s="49"/>
      <c r="E29" s="50"/>
      <c r="F29" s="49"/>
      <c r="G29" s="37"/>
      <c r="H29" s="16"/>
      <c r="I29" s="7"/>
      <c r="J29" s="37"/>
      <c r="K29" s="20"/>
      <c r="L29" s="20"/>
      <c r="M29" s="20"/>
      <c r="N29" s="20"/>
      <c r="O29" s="20"/>
      <c r="P29" s="20"/>
      <c r="Q29" s="20"/>
      <c r="R29" s="20"/>
      <c r="S29" s="20"/>
      <c r="T29" s="20"/>
      <c r="U29" s="20"/>
      <c r="V29" s="20"/>
    </row>
    <row r="30" spans="1:22" ht="60" x14ac:dyDescent="0.25">
      <c r="A30" s="2" t="s">
        <v>20</v>
      </c>
      <c r="B30" s="42">
        <v>14737</v>
      </c>
      <c r="C30" s="43">
        <v>5263</v>
      </c>
      <c r="D30" s="44">
        <f t="shared" si="0"/>
        <v>20000</v>
      </c>
      <c r="E30" s="45">
        <v>20000</v>
      </c>
      <c r="F30" s="46">
        <f t="shared" si="1"/>
        <v>0</v>
      </c>
      <c r="G30" s="33">
        <f t="shared" si="2"/>
        <v>100</v>
      </c>
      <c r="H30" s="23">
        <v>20000</v>
      </c>
      <c r="I30" s="35">
        <f t="shared" si="3"/>
        <v>0</v>
      </c>
      <c r="J30" s="36">
        <f t="shared" si="4"/>
        <v>100</v>
      </c>
      <c r="K30" s="103" t="s">
        <v>63</v>
      </c>
      <c r="L30" s="103"/>
      <c r="M30" s="103"/>
      <c r="N30" s="103"/>
      <c r="O30" s="103"/>
      <c r="P30" s="103"/>
      <c r="Q30" s="103"/>
      <c r="R30" s="103"/>
      <c r="S30" s="103"/>
      <c r="T30" s="103"/>
      <c r="U30" s="103"/>
      <c r="V30" s="103"/>
    </row>
    <row r="31" spans="1:22" x14ac:dyDescent="0.25">
      <c r="A31" s="3" t="s">
        <v>21</v>
      </c>
      <c r="B31" s="42"/>
      <c r="C31" s="43"/>
      <c r="D31" s="44">
        <f t="shared" si="0"/>
        <v>0</v>
      </c>
      <c r="E31" s="45"/>
      <c r="F31" s="46">
        <f t="shared" si="1"/>
        <v>0</v>
      </c>
      <c r="G31" s="33" t="e">
        <f t="shared" si="2"/>
        <v>#DIV/0!</v>
      </c>
      <c r="H31" s="23"/>
      <c r="I31" s="35">
        <f t="shared" si="3"/>
        <v>0</v>
      </c>
      <c r="J31" s="36" t="e">
        <f t="shared" si="4"/>
        <v>#DIV/0!</v>
      </c>
      <c r="K31" s="103" t="s">
        <v>64</v>
      </c>
      <c r="L31" s="20"/>
      <c r="M31" s="20"/>
      <c r="N31" s="20"/>
      <c r="O31" s="20"/>
      <c r="P31" s="20"/>
      <c r="Q31" s="20"/>
      <c r="R31" s="20"/>
      <c r="S31" s="20"/>
      <c r="T31" s="20"/>
      <c r="U31" s="20"/>
      <c r="V31" s="20"/>
    </row>
    <row r="32" spans="1:22" x14ac:dyDescent="0.25">
      <c r="A32" s="3" t="s">
        <v>22</v>
      </c>
      <c r="B32" s="42"/>
      <c r="C32" s="43"/>
      <c r="D32" s="44">
        <f t="shared" si="0"/>
        <v>0</v>
      </c>
      <c r="E32" s="45"/>
      <c r="F32" s="46">
        <f t="shared" si="1"/>
        <v>0</v>
      </c>
      <c r="G32" s="33" t="e">
        <f t="shared" si="2"/>
        <v>#DIV/0!</v>
      </c>
      <c r="H32" s="23"/>
      <c r="I32" s="35">
        <f t="shared" si="3"/>
        <v>0</v>
      </c>
      <c r="J32" s="36" t="e">
        <f t="shared" si="4"/>
        <v>#DIV/0!</v>
      </c>
      <c r="K32" s="103"/>
      <c r="L32" s="20"/>
      <c r="M32" s="20"/>
      <c r="N32" s="20"/>
      <c r="O32" s="20"/>
      <c r="P32" s="20"/>
      <c r="Q32" s="20"/>
      <c r="R32" s="20"/>
      <c r="S32" s="20"/>
      <c r="T32" s="20"/>
      <c r="U32" s="20"/>
      <c r="V32" s="20"/>
    </row>
    <row r="33" spans="1:22" x14ac:dyDescent="0.25">
      <c r="A33" s="3" t="s">
        <v>23</v>
      </c>
      <c r="B33" s="42"/>
      <c r="C33" s="43"/>
      <c r="D33" s="44">
        <f t="shared" si="0"/>
        <v>0</v>
      </c>
      <c r="E33" s="45"/>
      <c r="F33" s="46">
        <f t="shared" si="1"/>
        <v>0</v>
      </c>
      <c r="G33" s="33" t="e">
        <f t="shared" si="2"/>
        <v>#DIV/0!</v>
      </c>
      <c r="H33" s="23"/>
      <c r="I33" s="35">
        <f t="shared" si="3"/>
        <v>0</v>
      </c>
      <c r="J33" s="36" t="e">
        <f t="shared" si="4"/>
        <v>#DIV/0!</v>
      </c>
      <c r="K33" s="103"/>
      <c r="L33" s="20"/>
      <c r="M33" s="20"/>
      <c r="N33" s="20"/>
      <c r="O33" s="20"/>
      <c r="P33" s="20"/>
      <c r="Q33" s="20"/>
      <c r="R33" s="20"/>
      <c r="S33" s="20"/>
      <c r="T33" s="20"/>
      <c r="U33" s="20"/>
      <c r="V33" s="20"/>
    </row>
    <row r="34" spans="1:22" x14ac:dyDescent="0.25">
      <c r="A34" s="3" t="s">
        <v>24</v>
      </c>
      <c r="B34" s="42"/>
      <c r="C34" s="43"/>
      <c r="D34" s="44">
        <f t="shared" si="0"/>
        <v>0</v>
      </c>
      <c r="E34" s="45"/>
      <c r="F34" s="46">
        <f t="shared" si="1"/>
        <v>0</v>
      </c>
      <c r="G34" s="33" t="e">
        <f t="shared" si="2"/>
        <v>#DIV/0!</v>
      </c>
      <c r="H34" s="23"/>
      <c r="I34" s="35">
        <f t="shared" si="3"/>
        <v>0</v>
      </c>
      <c r="J34" s="36" t="e">
        <f t="shared" si="4"/>
        <v>#DIV/0!</v>
      </c>
      <c r="K34" s="103"/>
      <c r="L34" s="20"/>
      <c r="M34" s="20"/>
      <c r="N34" s="20"/>
      <c r="O34" s="20"/>
      <c r="P34" s="20"/>
      <c r="Q34" s="20"/>
      <c r="R34" s="20"/>
      <c r="S34" s="20"/>
      <c r="T34" s="20"/>
      <c r="U34" s="20"/>
      <c r="V34" s="20"/>
    </row>
    <row r="35" spans="1:22" x14ac:dyDescent="0.25">
      <c r="A35" s="3" t="s">
        <v>25</v>
      </c>
      <c r="B35" s="42"/>
      <c r="C35" s="43"/>
      <c r="D35" s="44">
        <f t="shared" si="0"/>
        <v>0</v>
      </c>
      <c r="E35" s="45"/>
      <c r="F35" s="46">
        <f t="shared" si="1"/>
        <v>0</v>
      </c>
      <c r="G35" s="33" t="e">
        <f t="shared" si="2"/>
        <v>#DIV/0!</v>
      </c>
      <c r="H35" s="23"/>
      <c r="I35" s="35">
        <f t="shared" si="3"/>
        <v>0</v>
      </c>
      <c r="J35" s="36" t="e">
        <f t="shared" si="4"/>
        <v>#DIV/0!</v>
      </c>
      <c r="K35" s="103"/>
      <c r="L35" s="20"/>
      <c r="M35" s="20"/>
      <c r="N35" s="20"/>
      <c r="O35" s="20"/>
      <c r="P35" s="20"/>
      <c r="Q35" s="20"/>
      <c r="R35" s="20"/>
      <c r="S35" s="20"/>
      <c r="T35" s="20"/>
      <c r="U35" s="20"/>
      <c r="V35" s="20"/>
    </row>
    <row r="36" spans="1:22" x14ac:dyDescent="0.25">
      <c r="A36" s="5" t="s">
        <v>31</v>
      </c>
      <c r="B36" s="42"/>
      <c r="C36" s="43"/>
      <c r="D36" s="44">
        <f t="shared" si="0"/>
        <v>0</v>
      </c>
      <c r="E36" s="45"/>
      <c r="F36" s="46">
        <f t="shared" si="1"/>
        <v>0</v>
      </c>
      <c r="G36" s="33" t="e">
        <f t="shared" si="2"/>
        <v>#DIV/0!</v>
      </c>
      <c r="H36" s="23"/>
      <c r="I36" s="35">
        <f t="shared" si="3"/>
        <v>0</v>
      </c>
      <c r="J36" s="36" t="e">
        <f t="shared" si="4"/>
        <v>#DIV/0!</v>
      </c>
      <c r="K36" s="103"/>
      <c r="L36" s="20"/>
      <c r="M36" s="20"/>
      <c r="N36" s="20"/>
      <c r="O36" s="20"/>
      <c r="P36" s="20"/>
      <c r="Q36" s="20"/>
      <c r="R36" s="20"/>
      <c r="S36" s="20"/>
      <c r="T36" s="20"/>
      <c r="U36" s="20"/>
      <c r="V36" s="20"/>
    </row>
    <row r="37" spans="1:22" x14ac:dyDescent="0.25">
      <c r="A37" s="2" t="s">
        <v>26</v>
      </c>
      <c r="B37" s="42"/>
      <c r="C37" s="43"/>
      <c r="D37" s="44">
        <f t="shared" si="0"/>
        <v>0</v>
      </c>
      <c r="E37" s="45">
        <v>0</v>
      </c>
      <c r="F37" s="46">
        <f t="shared" si="1"/>
        <v>0</v>
      </c>
      <c r="G37" s="33" t="e">
        <f t="shared" si="2"/>
        <v>#DIV/0!</v>
      </c>
      <c r="H37" s="23"/>
      <c r="I37" s="35">
        <f t="shared" si="3"/>
        <v>0</v>
      </c>
      <c r="J37" s="36" t="e">
        <f t="shared" si="4"/>
        <v>#DIV/0!</v>
      </c>
      <c r="K37" s="20" t="s">
        <v>66</v>
      </c>
      <c r="L37" s="20"/>
      <c r="M37" s="20"/>
      <c r="N37" s="20"/>
      <c r="O37" s="20"/>
      <c r="P37" s="20"/>
      <c r="Q37" s="20"/>
      <c r="R37" s="20"/>
      <c r="S37" s="20"/>
      <c r="T37" s="20"/>
      <c r="U37" s="20"/>
      <c r="V37" s="20"/>
    </row>
    <row r="38" spans="1:22" x14ac:dyDescent="0.25">
      <c r="A38" s="2" t="s">
        <v>27</v>
      </c>
      <c r="B38" s="42">
        <v>87000</v>
      </c>
      <c r="C38" s="43"/>
      <c r="D38" s="44">
        <f t="shared" si="0"/>
        <v>87000</v>
      </c>
      <c r="E38" s="45">
        <v>105000</v>
      </c>
      <c r="F38" s="46">
        <f t="shared" si="1"/>
        <v>18000</v>
      </c>
      <c r="G38" s="33">
        <f t="shared" si="2"/>
        <v>82.857142857142861</v>
      </c>
      <c r="H38" s="23">
        <v>87000</v>
      </c>
      <c r="I38" s="35">
        <f t="shared" si="3"/>
        <v>18000</v>
      </c>
      <c r="J38" s="36">
        <f t="shared" si="4"/>
        <v>82.857142857142861</v>
      </c>
      <c r="K38" s="20" t="s">
        <v>74</v>
      </c>
      <c r="L38" s="20"/>
      <c r="M38" s="20"/>
      <c r="N38" s="20"/>
      <c r="O38" s="20"/>
      <c r="P38" s="20"/>
      <c r="Q38" s="20"/>
      <c r="R38" s="20"/>
      <c r="S38" s="20"/>
      <c r="T38" s="20"/>
      <c r="U38" s="20"/>
      <c r="V38" s="20"/>
    </row>
    <row r="39" spans="1:22" x14ac:dyDescent="0.25">
      <c r="A39" s="5" t="s">
        <v>32</v>
      </c>
      <c r="B39" s="49"/>
      <c r="C39" s="49"/>
      <c r="D39" s="49"/>
      <c r="E39" s="50"/>
      <c r="F39" s="49"/>
      <c r="G39" s="37"/>
      <c r="H39" s="16"/>
      <c r="I39" s="7"/>
      <c r="J39" s="37"/>
      <c r="K39" s="20"/>
      <c r="L39" s="20"/>
      <c r="M39" s="20"/>
      <c r="N39" s="20"/>
      <c r="O39" s="20"/>
      <c r="P39" s="20"/>
      <c r="Q39" s="20"/>
      <c r="R39" s="20"/>
      <c r="S39" s="20"/>
      <c r="T39" s="20"/>
      <c r="U39" s="20"/>
      <c r="V39" s="20"/>
    </row>
    <row r="40" spans="1:22" x14ac:dyDescent="0.25">
      <c r="A40" s="2" t="s">
        <v>28</v>
      </c>
      <c r="B40" s="42">
        <v>99665</v>
      </c>
      <c r="C40" s="43">
        <v>23879</v>
      </c>
      <c r="D40" s="44">
        <f t="shared" si="0"/>
        <v>123544</v>
      </c>
      <c r="E40" s="45">
        <v>150000</v>
      </c>
      <c r="F40" s="46">
        <f t="shared" si="1"/>
        <v>26456</v>
      </c>
      <c r="G40" s="33">
        <f t="shared" si="2"/>
        <v>82.362666666666669</v>
      </c>
      <c r="H40" s="23">
        <v>130000</v>
      </c>
      <c r="I40" s="35">
        <f t="shared" si="3"/>
        <v>20000</v>
      </c>
      <c r="J40" s="36">
        <f t="shared" si="4"/>
        <v>86.666666666666671</v>
      </c>
      <c r="K40" s="20" t="s">
        <v>67</v>
      </c>
      <c r="L40" s="20"/>
      <c r="M40" s="20"/>
      <c r="N40" s="20"/>
      <c r="O40" s="20"/>
      <c r="P40" s="20"/>
      <c r="Q40" s="20"/>
      <c r="R40" s="20"/>
      <c r="S40" s="20"/>
      <c r="T40" s="20"/>
      <c r="U40" s="20"/>
      <c r="V40" s="20"/>
    </row>
    <row r="41" spans="1:22" x14ac:dyDescent="0.25">
      <c r="A41" s="2" t="s">
        <v>29</v>
      </c>
      <c r="B41" s="42">
        <v>46963</v>
      </c>
      <c r="C41" s="43">
        <v>14909</v>
      </c>
      <c r="D41" s="44">
        <f t="shared" si="0"/>
        <v>61872</v>
      </c>
      <c r="E41" s="45">
        <v>80000</v>
      </c>
      <c r="F41" s="46">
        <f t="shared" si="1"/>
        <v>18128</v>
      </c>
      <c r="G41" s="33">
        <f t="shared" si="2"/>
        <v>77.34</v>
      </c>
      <c r="H41" s="23">
        <v>65000</v>
      </c>
      <c r="I41" s="35">
        <f t="shared" si="3"/>
        <v>15000</v>
      </c>
      <c r="J41" s="36">
        <f t="shared" si="4"/>
        <v>81.25</v>
      </c>
      <c r="K41" s="20" t="s">
        <v>68</v>
      </c>
      <c r="L41" s="20"/>
      <c r="M41" s="20"/>
      <c r="N41" s="20"/>
      <c r="O41" s="20"/>
      <c r="P41" s="20"/>
      <c r="Q41" s="20"/>
      <c r="R41" s="20"/>
      <c r="S41" s="20"/>
      <c r="T41" s="20"/>
      <c r="U41" s="20"/>
      <c r="V41" s="20"/>
    </row>
    <row r="42" spans="1:22" x14ac:dyDescent="0.25">
      <c r="A42" s="2" t="s">
        <v>76</v>
      </c>
      <c r="B42" s="42">
        <v>2480</v>
      </c>
      <c r="C42" s="43"/>
      <c r="D42" s="44">
        <f t="shared" si="0"/>
        <v>2480</v>
      </c>
      <c r="E42" s="45">
        <v>5000</v>
      </c>
      <c r="F42" s="46">
        <f t="shared" si="1"/>
        <v>2520</v>
      </c>
      <c r="G42" s="33">
        <f t="shared" si="2"/>
        <v>49.6</v>
      </c>
      <c r="H42" s="23">
        <v>2480</v>
      </c>
      <c r="I42" s="35">
        <f t="shared" si="3"/>
        <v>2520</v>
      </c>
      <c r="J42" s="36">
        <f t="shared" si="4"/>
        <v>49.6</v>
      </c>
      <c r="K42" s="20" t="s">
        <v>77</v>
      </c>
      <c r="L42" s="20"/>
      <c r="M42" s="20"/>
      <c r="N42" s="20"/>
      <c r="O42" s="20"/>
      <c r="P42" s="20"/>
      <c r="Q42" s="20"/>
      <c r="R42" s="20"/>
      <c r="S42" s="20"/>
      <c r="T42" s="20"/>
      <c r="U42" s="20"/>
      <c r="V42" s="20"/>
    </row>
    <row r="43" spans="1:22" x14ac:dyDescent="0.25">
      <c r="A43" s="2"/>
      <c r="B43" s="42"/>
      <c r="C43" s="43"/>
      <c r="D43" s="44"/>
      <c r="E43" s="45"/>
      <c r="F43" s="46"/>
      <c r="G43" s="33"/>
      <c r="H43" s="23"/>
      <c r="I43" s="35"/>
      <c r="J43" s="36"/>
      <c r="K43" s="20"/>
      <c r="L43" s="20"/>
      <c r="M43" s="20"/>
      <c r="N43" s="20"/>
      <c r="O43" s="20"/>
      <c r="P43" s="20"/>
      <c r="Q43" s="20"/>
      <c r="R43" s="20"/>
      <c r="S43" s="20"/>
      <c r="T43" s="20"/>
      <c r="U43" s="20"/>
      <c r="V43" s="20"/>
    </row>
    <row r="44" spans="1:22" x14ac:dyDescent="0.25">
      <c r="A44" s="2" t="s">
        <v>36</v>
      </c>
      <c r="B44" s="51">
        <f>SUM(B17:B43)</f>
        <v>388527</v>
      </c>
      <c r="C44" s="51">
        <f t="shared" ref="C44:F44" si="5">SUM(C17:C43)</f>
        <v>91102</v>
      </c>
      <c r="D44" s="48">
        <f t="shared" ref="D44" si="6">B44+C44</f>
        <v>479629</v>
      </c>
      <c r="E44" s="51">
        <f>SUM(E17:E43)</f>
        <v>591091</v>
      </c>
      <c r="F44" s="52">
        <f t="shared" si="5"/>
        <v>111462</v>
      </c>
      <c r="G44" s="17">
        <f t="shared" ref="G44" si="7">D44/E44%</f>
        <v>81.143005053367418</v>
      </c>
      <c r="H44" s="9">
        <f>SUM(H17:H43)</f>
        <v>503536</v>
      </c>
      <c r="I44" s="15">
        <f t="shared" ref="I44" si="8">E44-H44</f>
        <v>87555</v>
      </c>
      <c r="J44" s="17">
        <f t="shared" ref="J44" si="9">H44/E44%</f>
        <v>85.18755995269764</v>
      </c>
      <c r="K44" s="20"/>
      <c r="L44" s="20"/>
      <c r="M44" s="20"/>
      <c r="N44" s="20"/>
      <c r="O44" s="20"/>
      <c r="P44" s="20"/>
      <c r="Q44" s="20"/>
      <c r="R44" s="20"/>
      <c r="S44" s="20"/>
      <c r="T44" s="20"/>
      <c r="U44" s="20"/>
      <c r="V44" s="20"/>
    </row>
    <row r="45" spans="1:22" x14ac:dyDescent="0.25">
      <c r="A45" s="1" t="s">
        <v>51</v>
      </c>
      <c r="B45" s="9"/>
      <c r="C45" s="9"/>
      <c r="D45" s="9">
        <f>D44+D14</f>
        <v>-61783</v>
      </c>
      <c r="E45" s="9">
        <f>E44+E14</f>
        <v>38395</v>
      </c>
      <c r="F45" s="9"/>
      <c r="G45" s="9"/>
      <c r="H45" s="9">
        <f>H44+H14</f>
        <v>-46063</v>
      </c>
      <c r="I45" s="9"/>
      <c r="J45" s="9"/>
      <c r="K45" s="20"/>
      <c r="L45" s="20"/>
      <c r="M45" s="20"/>
      <c r="N45" s="20"/>
      <c r="O45" s="20"/>
      <c r="P45" s="20"/>
      <c r="Q45" s="20"/>
      <c r="R45" s="20"/>
      <c r="S45" s="20"/>
      <c r="T45" s="20"/>
      <c r="U45" s="20"/>
      <c r="V45" s="20"/>
    </row>
    <row r="46" spans="1:22" x14ac:dyDescent="0.25">
      <c r="A46" s="1" t="s">
        <v>52</v>
      </c>
      <c r="B46" s="9"/>
      <c r="C46" s="9"/>
      <c r="D46" s="47">
        <f>D6+D45</f>
        <v>-140903</v>
      </c>
      <c r="E46" s="47">
        <f>E6+E45</f>
        <v>-40725</v>
      </c>
      <c r="F46" s="9"/>
      <c r="G46" s="9"/>
      <c r="H46" s="9">
        <f>H6+H45</f>
        <v>-125183</v>
      </c>
      <c r="I46" s="9"/>
      <c r="J46" s="9"/>
      <c r="K46" s="20"/>
      <c r="L46" s="20"/>
      <c r="M46" s="20"/>
      <c r="N46" s="20"/>
      <c r="O46" s="20"/>
      <c r="P46" s="20"/>
      <c r="Q46" s="20"/>
      <c r="R46" s="20"/>
      <c r="S46" s="20"/>
      <c r="T46" s="20"/>
      <c r="U46" s="20"/>
      <c r="V46" s="20"/>
    </row>
    <row r="48" spans="1:22" x14ac:dyDescent="0.25">
      <c r="A48" s="1" t="s">
        <v>37</v>
      </c>
      <c r="D48" s="53"/>
      <c r="E48" s="53"/>
      <c r="F48" s="53"/>
      <c r="G48" s="11"/>
      <c r="H48" s="10"/>
      <c r="I48" s="10"/>
    </row>
    <row r="49" spans="1:10" x14ac:dyDescent="0.25">
      <c r="A49" s="1" t="s">
        <v>40</v>
      </c>
      <c r="B49" s="39">
        <f>D15</f>
        <v>-620532</v>
      </c>
      <c r="G49"/>
      <c r="J49"/>
    </row>
    <row r="50" spans="1:10" x14ac:dyDescent="0.25">
      <c r="A50" s="1" t="s">
        <v>41</v>
      </c>
      <c r="B50" s="39">
        <f>D44</f>
        <v>479629</v>
      </c>
      <c r="G50"/>
      <c r="J50"/>
    </row>
    <row r="51" spans="1:10" x14ac:dyDescent="0.25">
      <c r="A51" s="1" t="s">
        <v>42</v>
      </c>
      <c r="B51" s="39">
        <f>H15</f>
        <v>-628719</v>
      </c>
    </row>
    <row r="52" spans="1:10" x14ac:dyDescent="0.25">
      <c r="A52" s="1" t="s">
        <v>71</v>
      </c>
      <c r="B52" s="39">
        <f>H44</f>
        <v>503536</v>
      </c>
    </row>
    <row r="53" spans="1:10" x14ac:dyDescent="0.25">
      <c r="A53" s="1" t="s">
        <v>43</v>
      </c>
      <c r="B53" s="39">
        <f>B51+B52</f>
        <v>-125183</v>
      </c>
    </row>
    <row r="54" spans="1:10" x14ac:dyDescent="0.25">
      <c r="A54" s="1" t="s">
        <v>44</v>
      </c>
      <c r="B54" s="39">
        <f>B53/B7%</f>
        <v>39.013619222738185</v>
      </c>
    </row>
    <row r="55" spans="1:10" x14ac:dyDescent="0.25">
      <c r="A55" s="1" t="s">
        <v>45</v>
      </c>
      <c r="B55" s="39">
        <f>B53/B15%</f>
        <v>20.780744987956489</v>
      </c>
    </row>
    <row r="56" spans="1:10" x14ac:dyDescent="0.25">
      <c r="B56" s="40"/>
    </row>
    <row r="57" spans="1:10" x14ac:dyDescent="0.25">
      <c r="A57" s="1" t="s">
        <v>46</v>
      </c>
      <c r="B57" s="40"/>
    </row>
    <row r="58" spans="1:10" x14ac:dyDescent="0.25">
      <c r="B58" s="40"/>
    </row>
    <row r="59" spans="1:10" ht="30" x14ac:dyDescent="0.25">
      <c r="A59" s="1" t="s">
        <v>141</v>
      </c>
      <c r="B59" s="40">
        <v>14.4</v>
      </c>
    </row>
    <row r="60" spans="1:10" ht="30" x14ac:dyDescent="0.25">
      <c r="A60" s="1" t="s">
        <v>142</v>
      </c>
      <c r="B60" s="40">
        <v>25.4</v>
      </c>
    </row>
    <row r="61" spans="1:10" ht="30" x14ac:dyDescent="0.25">
      <c r="A61" s="1" t="s">
        <v>143</v>
      </c>
      <c r="B61" s="40">
        <v>27.5</v>
      </c>
    </row>
    <row r="62" spans="1:10" x14ac:dyDescent="0.25">
      <c r="A62" s="1" t="s">
        <v>47</v>
      </c>
      <c r="B62" s="4">
        <f>B59*(4/12)+ B60*(3/12)+B61*(5/12)</f>
        <v>22.608333333333334</v>
      </c>
    </row>
    <row r="63" spans="1:10" x14ac:dyDescent="0.25">
      <c r="A63" s="1" t="s">
        <v>69</v>
      </c>
      <c r="B63" s="39">
        <f>-E44/B62</f>
        <v>-26144.828603022484</v>
      </c>
    </row>
    <row r="64" spans="1:10" x14ac:dyDescent="0.25">
      <c r="A64" s="1" t="s">
        <v>70</v>
      </c>
      <c r="B64" s="39">
        <f>B44/B62</f>
        <v>17185.123479542941</v>
      </c>
    </row>
    <row r="65" spans="1:7" x14ac:dyDescent="0.25">
      <c r="A65" s="89"/>
      <c r="B65" s="81" t="s">
        <v>134</v>
      </c>
      <c r="C65" s="81"/>
      <c r="D65" s="81"/>
      <c r="E65" s="81" t="s">
        <v>3</v>
      </c>
      <c r="F65" s="87"/>
      <c r="G65" s="81" t="s">
        <v>4</v>
      </c>
    </row>
    <row r="66" spans="1:7" x14ac:dyDescent="0.25">
      <c r="A66" s="81" t="s">
        <v>105</v>
      </c>
      <c r="B66" s="81">
        <f>B6</f>
        <v>-79120</v>
      </c>
      <c r="C66" s="81"/>
      <c r="D66" s="81"/>
      <c r="E66" s="81">
        <f>E6</f>
        <v>-79120</v>
      </c>
      <c r="F66" s="87"/>
      <c r="G66" s="81">
        <f>H6</f>
        <v>-79120</v>
      </c>
    </row>
    <row r="67" spans="1:7" x14ac:dyDescent="0.25">
      <c r="A67" s="81" t="s">
        <v>106</v>
      </c>
      <c r="B67" s="81">
        <f>E7</f>
        <v>-319261</v>
      </c>
      <c r="C67" s="81"/>
      <c r="D67" s="81"/>
      <c r="E67" s="81">
        <f>E7</f>
        <v>-319261</v>
      </c>
      <c r="F67" s="87"/>
      <c r="G67" s="81">
        <f>H7</f>
        <v>-320870</v>
      </c>
    </row>
    <row r="68" spans="1:7" x14ac:dyDescent="0.25">
      <c r="A68" s="81"/>
      <c r="B68" s="81"/>
      <c r="C68" s="81"/>
      <c r="D68" s="81"/>
      <c r="E68" s="81"/>
      <c r="F68" s="87"/>
      <c r="G68" s="81"/>
    </row>
    <row r="69" spans="1:7" x14ac:dyDescent="0.25">
      <c r="A69" s="82" t="s">
        <v>107</v>
      </c>
      <c r="B69" s="81"/>
      <c r="C69" s="81"/>
      <c r="D69" s="81"/>
      <c r="E69" s="81"/>
      <c r="F69" s="87"/>
      <c r="G69" s="81"/>
    </row>
    <row r="70" spans="1:7" x14ac:dyDescent="0.25">
      <c r="A70" s="81" t="s">
        <v>108</v>
      </c>
      <c r="B70" s="81">
        <f>B7</f>
        <v>-320870</v>
      </c>
      <c r="C70" s="81"/>
      <c r="D70" s="81"/>
      <c r="E70" s="81">
        <f>E7</f>
        <v>-319261</v>
      </c>
      <c r="F70" s="87"/>
      <c r="G70" s="81">
        <f>H7</f>
        <v>-320870</v>
      </c>
    </row>
    <row r="71" spans="1:7" x14ac:dyDescent="0.25">
      <c r="A71" s="81" t="s">
        <v>109</v>
      </c>
      <c r="B71" s="81">
        <f>B11+B12</f>
        <v>-146739</v>
      </c>
      <c r="C71" s="81"/>
      <c r="D71" s="81"/>
      <c r="E71" s="81">
        <f>E11+E12</f>
        <v>-152000</v>
      </c>
      <c r="F71" s="87"/>
      <c r="G71" s="81">
        <f>H11+H12</f>
        <v>-164872</v>
      </c>
    </row>
    <row r="72" spans="1:7" x14ac:dyDescent="0.25">
      <c r="A72" s="81" t="s">
        <v>110</v>
      </c>
      <c r="B72" s="81">
        <f>B10</f>
        <v>-30435</v>
      </c>
      <c r="C72" s="81"/>
      <c r="D72" s="81"/>
      <c r="E72" s="81">
        <f>E10</f>
        <v>-30435</v>
      </c>
      <c r="F72" s="87"/>
      <c r="G72" s="81">
        <f>H10</f>
        <v>-30435</v>
      </c>
    </row>
    <row r="73" spans="1:7" x14ac:dyDescent="0.25">
      <c r="A73" s="81" t="s">
        <v>111</v>
      </c>
      <c r="B73" s="81"/>
      <c r="C73" s="81"/>
      <c r="D73" s="81"/>
      <c r="E73" s="81"/>
      <c r="F73" s="87"/>
      <c r="G73" s="81"/>
    </row>
    <row r="74" spans="1:7" x14ac:dyDescent="0.25">
      <c r="A74" s="81" t="s">
        <v>112</v>
      </c>
      <c r="B74" s="81">
        <f>B9</f>
        <v>0</v>
      </c>
      <c r="C74" s="81"/>
      <c r="D74" s="81"/>
      <c r="E74" s="81">
        <f>E9</f>
        <v>0</v>
      </c>
      <c r="F74" s="87"/>
      <c r="G74" s="81">
        <f>H9</f>
        <v>0</v>
      </c>
    </row>
    <row r="75" spans="1:7" x14ac:dyDescent="0.25">
      <c r="A75" s="81" t="s">
        <v>113</v>
      </c>
      <c r="B75" s="81">
        <f>B8</f>
        <v>-25235</v>
      </c>
      <c r="C75" s="81"/>
      <c r="D75" s="81"/>
      <c r="E75" s="81">
        <f>E8</f>
        <v>-51000</v>
      </c>
      <c r="F75" s="87"/>
      <c r="G75" s="81">
        <f>H8</f>
        <v>-33422</v>
      </c>
    </row>
    <row r="76" spans="1:7" ht="15.75" thickBot="1" x14ac:dyDescent="0.3">
      <c r="A76" s="83" t="s">
        <v>114</v>
      </c>
      <c r="B76" s="84">
        <f>SUM(B70:B75)</f>
        <v>-523279</v>
      </c>
      <c r="C76" s="81"/>
      <c r="D76" s="81"/>
      <c r="E76" s="84">
        <f>SUM(E70:E75)</f>
        <v>-552696</v>
      </c>
      <c r="F76" s="87"/>
      <c r="G76" s="84">
        <f>SUM(G70:G75)</f>
        <v>-549599</v>
      </c>
    </row>
    <row r="77" spans="1:7" ht="15.75" thickTop="1" x14ac:dyDescent="0.25">
      <c r="A77" s="81"/>
      <c r="B77" s="81"/>
      <c r="C77" s="81"/>
      <c r="D77" s="81"/>
      <c r="E77" s="81"/>
      <c r="F77" s="87"/>
      <c r="G77" s="81"/>
    </row>
    <row r="78" spans="1:7" x14ac:dyDescent="0.25">
      <c r="A78" s="82" t="s">
        <v>115</v>
      </c>
      <c r="B78" s="81"/>
      <c r="C78" s="81"/>
      <c r="D78" s="81"/>
      <c r="E78" s="81"/>
      <c r="F78" s="87"/>
      <c r="G78" s="81"/>
    </row>
    <row r="79" spans="1:7" x14ac:dyDescent="0.25">
      <c r="A79" s="81" t="s">
        <v>116</v>
      </c>
      <c r="B79" s="81">
        <f>B20+B21</f>
        <v>109640</v>
      </c>
      <c r="C79" s="81"/>
      <c r="D79" s="81"/>
      <c r="E79" s="90">
        <f>E20+E21</f>
        <v>169035</v>
      </c>
      <c r="F79" s="87"/>
      <c r="G79" s="81">
        <f>H20+H21</f>
        <v>160000</v>
      </c>
    </row>
    <row r="80" spans="1:7" x14ac:dyDescent="0.25">
      <c r="A80" s="81" t="s">
        <v>117</v>
      </c>
      <c r="B80" s="81">
        <f>B22</f>
        <v>1030</v>
      </c>
      <c r="C80" s="81"/>
      <c r="D80" s="81"/>
      <c r="E80" s="81">
        <f>E22</f>
        <v>3000</v>
      </c>
      <c r="F80" s="87"/>
      <c r="G80" s="81">
        <f>H22</f>
        <v>2000</v>
      </c>
    </row>
    <row r="81" spans="1:7" x14ac:dyDescent="0.25">
      <c r="A81" s="81" t="s">
        <v>118</v>
      </c>
      <c r="B81" s="81">
        <f>B28</f>
        <v>6364</v>
      </c>
      <c r="C81" s="81"/>
      <c r="D81" s="81"/>
      <c r="E81" s="81">
        <f>E28</f>
        <v>8000</v>
      </c>
      <c r="F81" s="87"/>
      <c r="G81" s="81">
        <f>H28</f>
        <v>7000</v>
      </c>
    </row>
    <row r="82" spans="1:7" x14ac:dyDescent="0.25">
      <c r="A82" s="81" t="s">
        <v>119</v>
      </c>
      <c r="B82" s="81">
        <f>B26</f>
        <v>3505</v>
      </c>
      <c r="C82" s="81"/>
      <c r="D82" s="81"/>
      <c r="E82" s="81">
        <f>E26</f>
        <v>5000</v>
      </c>
      <c r="F82" s="87"/>
      <c r="G82" s="81">
        <f>H26</f>
        <v>5000</v>
      </c>
    </row>
    <row r="83" spans="1:7" x14ac:dyDescent="0.25">
      <c r="A83" s="81" t="s">
        <v>120</v>
      </c>
      <c r="B83" s="81">
        <f>B18</f>
        <v>2384</v>
      </c>
      <c r="C83" s="81"/>
      <c r="D83" s="81"/>
      <c r="E83" s="81">
        <f>E18</f>
        <v>3576</v>
      </c>
      <c r="F83" s="87"/>
      <c r="G83" s="81">
        <f>H18</f>
        <v>3576</v>
      </c>
    </row>
    <row r="84" spans="1:7" x14ac:dyDescent="0.25">
      <c r="A84" s="81" t="s">
        <v>121</v>
      </c>
      <c r="B84" s="90">
        <f>B40+B42</f>
        <v>102145</v>
      </c>
      <c r="C84" s="81"/>
      <c r="D84" s="81"/>
      <c r="E84" s="90">
        <f>E40+E42</f>
        <v>155000</v>
      </c>
      <c r="F84" s="87"/>
      <c r="G84" s="81">
        <f>H40+H42</f>
        <v>132480</v>
      </c>
    </row>
    <row r="85" spans="1:7" x14ac:dyDescent="0.25">
      <c r="A85" s="81" t="s">
        <v>122</v>
      </c>
      <c r="B85" s="81">
        <f>B41</f>
        <v>46963</v>
      </c>
      <c r="C85" s="81"/>
      <c r="D85" s="81"/>
      <c r="E85" s="81">
        <f>E41</f>
        <v>80000</v>
      </c>
      <c r="F85" s="87"/>
      <c r="G85" s="81">
        <f>H41</f>
        <v>65000</v>
      </c>
    </row>
    <row r="86" spans="1:7" x14ac:dyDescent="0.25">
      <c r="A86" s="81" t="s">
        <v>123</v>
      </c>
      <c r="B86" s="81">
        <f>B37+B38</f>
        <v>87000</v>
      </c>
      <c r="C86" s="81"/>
      <c r="D86" s="81"/>
      <c r="E86" s="81">
        <f>E37+E38</f>
        <v>105000</v>
      </c>
      <c r="F86" s="87"/>
      <c r="G86" s="81">
        <f>H37+H38</f>
        <v>87000</v>
      </c>
    </row>
    <row r="87" spans="1:7" x14ac:dyDescent="0.25">
      <c r="A87" s="81" t="s">
        <v>124</v>
      </c>
      <c r="B87" s="81">
        <f>B17+B24</f>
        <v>12880</v>
      </c>
      <c r="C87" s="81"/>
      <c r="D87" s="81"/>
      <c r="E87" s="81">
        <f>E17+E24</f>
        <v>17480</v>
      </c>
      <c r="F87" s="87"/>
      <c r="G87" s="90">
        <f>H17+H24</f>
        <v>17480</v>
      </c>
    </row>
    <row r="88" spans="1:7" x14ac:dyDescent="0.25">
      <c r="A88" s="81" t="s">
        <v>131</v>
      </c>
      <c r="B88" s="81">
        <f>B30+B31+B32+B33+B34+B35 +B25+B27</f>
        <v>16616</v>
      </c>
      <c r="C88" s="81"/>
      <c r="D88" s="81"/>
      <c r="E88" s="90">
        <f>E25+E27+E30</f>
        <v>45000</v>
      </c>
      <c r="F88" s="87"/>
      <c r="G88" s="107">
        <f>H25+H27+H30+H34+H35</f>
        <v>24000</v>
      </c>
    </row>
    <row r="89" spans="1:7" ht="15.75" thickBot="1" x14ac:dyDescent="0.3">
      <c r="A89" s="83" t="s">
        <v>125</v>
      </c>
      <c r="B89" s="85">
        <f>SUM(B79:B88)</f>
        <v>388527</v>
      </c>
      <c r="C89" s="81"/>
      <c r="D89" s="81"/>
      <c r="E89" s="85">
        <f>SUM(E78:E88)</f>
        <v>591091</v>
      </c>
      <c r="F89" s="87"/>
      <c r="G89" s="84">
        <f>SUM(G79:G88)</f>
        <v>503536</v>
      </c>
    </row>
    <row r="90" spans="1:7" ht="15.75" thickTop="1" x14ac:dyDescent="0.25">
      <c r="A90" s="81"/>
      <c r="B90" s="81"/>
      <c r="C90" s="81"/>
      <c r="D90" s="81"/>
      <c r="E90" s="81"/>
      <c r="F90" s="87"/>
      <c r="G90" s="81"/>
    </row>
    <row r="91" spans="1:7" ht="15.75" thickBot="1" x14ac:dyDescent="0.3">
      <c r="A91" s="81" t="s">
        <v>126</v>
      </c>
      <c r="B91" s="85">
        <f>B89+B76</f>
        <v>-134752</v>
      </c>
      <c r="C91" s="81"/>
      <c r="D91" s="81"/>
      <c r="E91" s="85">
        <f>E89+E76</f>
        <v>38395</v>
      </c>
      <c r="F91" s="87"/>
      <c r="G91" s="84">
        <f>G76+G89</f>
        <v>-46063</v>
      </c>
    </row>
    <row r="92" spans="1:7" ht="15.75" thickTop="1" x14ac:dyDescent="0.25">
      <c r="A92" s="81"/>
      <c r="B92" s="83"/>
      <c r="C92" s="81"/>
      <c r="D92" s="81"/>
      <c r="E92" s="83"/>
      <c r="F92" s="87"/>
      <c r="G92" s="81"/>
    </row>
    <row r="93" spans="1:7" x14ac:dyDescent="0.25">
      <c r="A93" s="81"/>
      <c r="B93" s="81"/>
      <c r="C93" s="81"/>
      <c r="D93" s="81"/>
      <c r="E93" s="81"/>
      <c r="F93" s="87"/>
      <c r="G93" s="81"/>
    </row>
    <row r="94" spans="1:7" x14ac:dyDescent="0.25">
      <c r="A94" s="81" t="s">
        <v>127</v>
      </c>
      <c r="B94" s="81">
        <f>B66+B76+B89</f>
        <v>-213872</v>
      </c>
      <c r="C94" s="81"/>
      <c r="D94" s="81"/>
      <c r="E94" s="81">
        <f>E66+E76+E89</f>
        <v>-40725</v>
      </c>
      <c r="F94" s="87"/>
      <c r="G94" s="81">
        <f>G66+G91</f>
        <v>-125183</v>
      </c>
    </row>
    <row r="95" spans="1:7" x14ac:dyDescent="0.25">
      <c r="A95" s="81" t="s">
        <v>128</v>
      </c>
      <c r="B95" s="86">
        <f>B94/B76</f>
        <v>0.40871504493778654</v>
      </c>
      <c r="C95" s="81"/>
      <c r="D95" s="81"/>
      <c r="E95" s="86">
        <f>E94/E76</f>
        <v>7.3684267662512487E-2</v>
      </c>
      <c r="F95" s="87"/>
      <c r="G95" s="108">
        <f>G94/G76</f>
        <v>0.22777152069053982</v>
      </c>
    </row>
    <row r="96" spans="1:7" x14ac:dyDescent="0.25">
      <c r="A96" s="81" t="s">
        <v>129</v>
      </c>
      <c r="B96" s="86">
        <f>B94/B67</f>
        <v>0.66989704348479773</v>
      </c>
      <c r="C96" s="81"/>
      <c r="D96" s="81"/>
      <c r="E96" s="86">
        <f>E94/E67</f>
        <v>0.12756020935848725</v>
      </c>
      <c r="F96" s="87"/>
      <c r="G96" s="108">
        <f>G94/G70</f>
        <v>0.39013619222738183</v>
      </c>
    </row>
    <row r="97" spans="1:7" x14ac:dyDescent="0.25">
      <c r="A97" s="81"/>
      <c r="B97" s="81"/>
      <c r="C97" s="81"/>
      <c r="D97" s="81"/>
      <c r="E97" s="81"/>
      <c r="F97" s="87"/>
      <c r="G97" s="81"/>
    </row>
    <row r="98" spans="1:7" x14ac:dyDescent="0.25">
      <c r="A98" s="81"/>
      <c r="B98" s="81"/>
      <c r="C98" s="81"/>
      <c r="D98" s="81"/>
      <c r="E98" s="81"/>
      <c r="F98" s="87"/>
      <c r="G98" s="81"/>
    </row>
    <row r="99" spans="1:7" x14ac:dyDescent="0.25">
      <c r="A99" s="81" t="s">
        <v>130</v>
      </c>
      <c r="B99" s="87">
        <f>B62</f>
        <v>22.608333333333334</v>
      </c>
      <c r="C99" s="81"/>
      <c r="D99" s="81"/>
      <c r="E99" s="87">
        <f>B99</f>
        <v>22.608333333333334</v>
      </c>
      <c r="F99" s="87"/>
      <c r="G99" s="87">
        <f>B62</f>
        <v>22.608333333333334</v>
      </c>
    </row>
    <row r="100" spans="1:7" x14ac:dyDescent="0.25">
      <c r="A100" s="81" t="s">
        <v>133</v>
      </c>
      <c r="B100" s="81">
        <f>-E7/B99</f>
        <v>14121.385919646147</v>
      </c>
      <c r="C100" s="81"/>
      <c r="D100" s="81"/>
      <c r="E100" s="81">
        <f>B100</f>
        <v>14121.385919646147</v>
      </c>
      <c r="F100" s="87"/>
      <c r="G100" s="81">
        <f>-G70/G99</f>
        <v>14192.554367858458</v>
      </c>
    </row>
    <row r="101" spans="1:7" x14ac:dyDescent="0.25">
      <c r="A101" s="109" t="s">
        <v>140</v>
      </c>
      <c r="B101" s="34">
        <f>B89/B99</f>
        <v>17185.123479542941</v>
      </c>
      <c r="C101" s="34"/>
      <c r="D101" s="34"/>
      <c r="E101" s="34">
        <f>E89/E99</f>
        <v>26144.828603022484</v>
      </c>
      <c r="F101" s="34"/>
      <c r="G101" s="36">
        <f>G89/G99</f>
        <v>22272.141540729819</v>
      </c>
    </row>
  </sheetData>
  <mergeCells count="18">
    <mergeCell ref="F4:F5"/>
    <mergeCell ref="C1:D1"/>
    <mergeCell ref="B4:B5"/>
    <mergeCell ref="C4:C5"/>
    <mergeCell ref="D4:D5"/>
    <mergeCell ref="E4:E5"/>
    <mergeCell ref="K31:K36"/>
    <mergeCell ref="G4:G5"/>
    <mergeCell ref="H4:H5"/>
    <mergeCell ref="I4:I5"/>
    <mergeCell ref="J4:J5"/>
    <mergeCell ref="K11:V11"/>
    <mergeCell ref="K12:V12"/>
    <mergeCell ref="K14:V14"/>
    <mergeCell ref="K17:V17"/>
    <mergeCell ref="K18:V18"/>
    <mergeCell ref="K24:V24"/>
    <mergeCell ref="K30:V30"/>
  </mergeCells>
  <conditionalFormatting sqref="D45:E45">
    <cfRule type="cellIs" dxfId="380" priority="5" operator="lessThan">
      <formula>0</formula>
    </cfRule>
    <cfRule type="cellIs" dxfId="379" priority="6" operator="greaterThan">
      <formula>0</formula>
    </cfRule>
  </conditionalFormatting>
  <conditionalFormatting sqref="H45">
    <cfRule type="cellIs" dxfId="378" priority="3" operator="lessThan">
      <formula>0</formula>
    </cfRule>
    <cfRule type="cellIs" dxfId="377" priority="4" operator="greaterThan">
      <formula>0</formula>
    </cfRule>
  </conditionalFormatting>
  <conditionalFormatting sqref="H46 D46:E46">
    <cfRule type="cellIs" dxfId="376" priority="1" operator="lessThan">
      <formula>0</formula>
    </cfRule>
    <cfRule type="cellIs" dxfId="375" priority="2" operator="greaterThan">
      <formula>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76466-628D-49D4-ABE8-5D1706DB4B06}">
  <dimension ref="A1:V101"/>
  <sheetViews>
    <sheetView topLeftCell="A10" workbookViewId="0">
      <selection activeCell="K99" sqref="K99"/>
    </sheetView>
  </sheetViews>
  <sheetFormatPr defaultRowHeight="15" x14ac:dyDescent="0.25"/>
  <cols>
    <col min="1" max="1" width="44.42578125" style="1" customWidth="1"/>
    <col min="2" max="6" width="12.28515625" customWidth="1"/>
    <col min="7" max="7" width="12.28515625" style="4" customWidth="1"/>
    <col min="8" max="9" width="12.28515625" customWidth="1"/>
    <col min="10" max="10" width="12.28515625" style="4" customWidth="1"/>
    <col min="11" max="11" width="20.85546875" customWidth="1"/>
  </cols>
  <sheetData>
    <row r="1" spans="1:22" ht="78.75" customHeight="1" x14ac:dyDescent="0.25">
      <c r="C1" s="100" t="s">
        <v>48</v>
      </c>
      <c r="D1" s="100"/>
      <c r="E1" s="19" t="s">
        <v>96</v>
      </c>
      <c r="K1" t="s">
        <v>136</v>
      </c>
    </row>
    <row r="2" spans="1:22" x14ac:dyDescent="0.25">
      <c r="A2" s="1" t="s">
        <v>49</v>
      </c>
      <c r="B2" s="19" t="s">
        <v>135</v>
      </c>
      <c r="C2" s="19">
        <v>2022</v>
      </c>
      <c r="E2" t="s">
        <v>137</v>
      </c>
    </row>
    <row r="3" spans="1:22" x14ac:dyDescent="0.25">
      <c r="A3" s="26" t="s">
        <v>85</v>
      </c>
      <c r="B3" s="27"/>
      <c r="C3" s="27"/>
    </row>
    <row r="4" spans="1:22" ht="45" customHeight="1" x14ac:dyDescent="0.25">
      <c r="A4" s="80" t="s">
        <v>104</v>
      </c>
      <c r="B4" s="101" t="s">
        <v>0</v>
      </c>
      <c r="C4" s="101" t="s">
        <v>1</v>
      </c>
      <c r="D4" s="101" t="s">
        <v>2</v>
      </c>
      <c r="E4" s="101" t="s">
        <v>3</v>
      </c>
      <c r="F4" s="101" t="s">
        <v>33</v>
      </c>
      <c r="G4" s="102" t="s">
        <v>35</v>
      </c>
      <c r="H4" s="101" t="s">
        <v>4</v>
      </c>
      <c r="I4" s="101" t="s">
        <v>5</v>
      </c>
      <c r="J4" s="102" t="s">
        <v>34</v>
      </c>
    </row>
    <row r="5" spans="1:22" x14ac:dyDescent="0.25">
      <c r="A5" s="1" t="s">
        <v>13</v>
      </c>
      <c r="B5" s="101"/>
      <c r="C5" s="101"/>
      <c r="D5" s="101"/>
      <c r="E5" s="101"/>
      <c r="F5" s="101"/>
      <c r="G5" s="102"/>
      <c r="H5" s="101"/>
      <c r="I5" s="101"/>
      <c r="J5" s="102"/>
      <c r="K5" s="20" t="s">
        <v>56</v>
      </c>
      <c r="L5" s="20"/>
      <c r="M5" s="20"/>
      <c r="N5" s="20"/>
      <c r="O5" s="20"/>
      <c r="P5" s="20"/>
      <c r="Q5" s="20"/>
      <c r="R5" s="20"/>
      <c r="S5" s="20"/>
      <c r="T5" s="20"/>
      <c r="U5" s="20"/>
      <c r="V5" s="20"/>
    </row>
    <row r="6" spans="1:22" x14ac:dyDescent="0.25">
      <c r="A6" s="1" t="s">
        <v>38</v>
      </c>
      <c r="B6" s="42">
        <v>-347563.24</v>
      </c>
      <c r="C6" s="43"/>
      <c r="D6" s="44">
        <f>B6+C6</f>
        <v>-347563.24</v>
      </c>
      <c r="E6" s="45">
        <v>-347563.24</v>
      </c>
      <c r="F6" s="46">
        <f>E6-D6</f>
        <v>0</v>
      </c>
      <c r="G6" s="97">
        <f>D6/E6%</f>
        <v>100</v>
      </c>
      <c r="H6" s="94">
        <f>E6</f>
        <v>-347563.24</v>
      </c>
      <c r="I6" s="98">
        <f>E6-H6</f>
        <v>0</v>
      </c>
      <c r="J6" s="99">
        <f>H6/E6%</f>
        <v>100</v>
      </c>
      <c r="K6" s="20" t="s">
        <v>54</v>
      </c>
      <c r="L6" s="20"/>
      <c r="M6" s="20"/>
      <c r="N6" s="20"/>
      <c r="O6" s="20"/>
      <c r="P6" s="20"/>
      <c r="Q6" s="20"/>
      <c r="R6" s="20"/>
      <c r="S6" s="20"/>
      <c r="T6" s="20"/>
      <c r="U6" s="20"/>
      <c r="V6" s="20"/>
    </row>
    <row r="7" spans="1:22" x14ac:dyDescent="0.25">
      <c r="A7" s="2" t="s">
        <v>6</v>
      </c>
      <c r="B7" s="42">
        <v>-197045</v>
      </c>
      <c r="C7" s="43">
        <v>0</v>
      </c>
      <c r="D7" s="44">
        <f t="shared" ref="D7:D42" si="0">B7+C7</f>
        <v>-197045</v>
      </c>
      <c r="E7" s="45">
        <v>-272068</v>
      </c>
      <c r="F7" s="46">
        <f t="shared" ref="F7:F42" si="1">E7-D7</f>
        <v>-75023</v>
      </c>
      <c r="G7" s="97">
        <f t="shared" ref="G7:G42" si="2">D7/E7%</f>
        <v>72.42490847876266</v>
      </c>
      <c r="H7" s="94">
        <f t="shared" ref="H7:H13" si="3">E7</f>
        <v>-272068</v>
      </c>
      <c r="I7" s="98">
        <f t="shared" ref="I7:I42" si="4">E7-H7</f>
        <v>0</v>
      </c>
      <c r="J7" s="99">
        <f t="shared" ref="J7:J42" si="5">H7/E7%</f>
        <v>100</v>
      </c>
      <c r="K7" s="20" t="s">
        <v>79</v>
      </c>
      <c r="L7" s="20"/>
      <c r="M7" s="20"/>
      <c r="N7" s="20"/>
      <c r="O7" s="20"/>
      <c r="P7" s="20"/>
      <c r="Q7" s="20"/>
      <c r="R7" s="20"/>
      <c r="S7" s="20"/>
      <c r="T7" s="20"/>
      <c r="U7" s="20"/>
      <c r="V7" s="20"/>
    </row>
    <row r="8" spans="1:22" ht="17.25" customHeight="1" x14ac:dyDescent="0.25">
      <c r="A8" s="2" t="s">
        <v>7</v>
      </c>
      <c r="B8" s="42">
        <v>-95052</v>
      </c>
      <c r="C8" s="43">
        <v>0</v>
      </c>
      <c r="D8" s="44">
        <f t="shared" si="0"/>
        <v>-95052</v>
      </c>
      <c r="E8" s="45">
        <v>-107740</v>
      </c>
      <c r="F8" s="46">
        <f t="shared" si="1"/>
        <v>-12688</v>
      </c>
      <c r="G8" s="97">
        <f t="shared" si="2"/>
        <v>88.223501020976414</v>
      </c>
      <c r="H8" s="94">
        <f t="shared" si="3"/>
        <v>-107740</v>
      </c>
      <c r="I8" s="98">
        <f t="shared" si="4"/>
        <v>0</v>
      </c>
      <c r="J8" s="99">
        <f t="shared" si="5"/>
        <v>99.999999999999986</v>
      </c>
      <c r="K8" s="20" t="s">
        <v>55</v>
      </c>
      <c r="L8" s="20"/>
      <c r="M8" s="20"/>
      <c r="N8" s="20"/>
      <c r="O8" s="20"/>
      <c r="P8" s="20"/>
      <c r="Q8" s="20"/>
      <c r="R8" s="20"/>
      <c r="S8" s="20"/>
      <c r="T8" s="20"/>
      <c r="U8" s="20"/>
      <c r="V8" s="20"/>
    </row>
    <row r="9" spans="1:22" x14ac:dyDescent="0.25">
      <c r="A9" s="2" t="s">
        <v>8</v>
      </c>
      <c r="B9" s="42">
        <v>0</v>
      </c>
      <c r="C9" s="43">
        <v>0</v>
      </c>
      <c r="D9" s="44">
        <f t="shared" si="0"/>
        <v>0</v>
      </c>
      <c r="E9" s="45"/>
      <c r="F9" s="46">
        <f t="shared" si="1"/>
        <v>0</v>
      </c>
      <c r="G9" s="97" t="e">
        <f t="shared" si="2"/>
        <v>#DIV/0!</v>
      </c>
      <c r="H9" s="94">
        <f t="shared" si="3"/>
        <v>0</v>
      </c>
      <c r="I9" s="98">
        <f t="shared" si="4"/>
        <v>0</v>
      </c>
      <c r="J9" s="99" t="e">
        <f t="shared" si="5"/>
        <v>#DIV/0!</v>
      </c>
      <c r="K9" s="20"/>
      <c r="L9" s="20"/>
      <c r="M9" s="20"/>
      <c r="N9" s="20"/>
      <c r="O9" s="20"/>
      <c r="P9" s="20"/>
      <c r="Q9" s="20"/>
      <c r="R9" s="20"/>
      <c r="S9" s="20"/>
      <c r="T9" s="20"/>
      <c r="U9" s="20"/>
      <c r="V9" s="20"/>
    </row>
    <row r="10" spans="1:22" x14ac:dyDescent="0.25">
      <c r="A10" s="2" t="s">
        <v>9</v>
      </c>
      <c r="B10" s="42">
        <v>0</v>
      </c>
      <c r="C10" s="43">
        <v>0</v>
      </c>
      <c r="D10" s="44">
        <f t="shared" si="0"/>
        <v>0</v>
      </c>
      <c r="E10" s="45">
        <v>0</v>
      </c>
      <c r="F10" s="46">
        <f t="shared" si="1"/>
        <v>0</v>
      </c>
      <c r="G10" s="97" t="e">
        <f t="shared" si="2"/>
        <v>#DIV/0!</v>
      </c>
      <c r="H10" s="94">
        <f t="shared" si="3"/>
        <v>0</v>
      </c>
      <c r="I10" s="98">
        <f t="shared" si="4"/>
        <v>0</v>
      </c>
      <c r="J10" s="99" t="e">
        <f t="shared" si="5"/>
        <v>#DIV/0!</v>
      </c>
      <c r="K10" s="20" t="s">
        <v>65</v>
      </c>
      <c r="L10" s="20"/>
      <c r="M10" s="20"/>
      <c r="N10" s="20"/>
      <c r="O10" s="20"/>
      <c r="P10" s="20"/>
      <c r="Q10" s="20"/>
      <c r="R10" s="20"/>
      <c r="S10" s="20"/>
      <c r="T10" s="20"/>
      <c r="U10" s="20"/>
      <c r="V10" s="20"/>
    </row>
    <row r="11" spans="1:22" ht="30" x14ac:dyDescent="0.25">
      <c r="A11" s="2" t="s">
        <v>10</v>
      </c>
      <c r="B11" s="42">
        <v>-24965.31</v>
      </c>
      <c r="C11" s="43">
        <v>0</v>
      </c>
      <c r="D11" s="44">
        <f t="shared" si="0"/>
        <v>-24965.31</v>
      </c>
      <c r="E11" s="45">
        <v>-73697</v>
      </c>
      <c r="F11" s="46">
        <f t="shared" si="1"/>
        <v>-48731.69</v>
      </c>
      <c r="G11" s="97">
        <f t="shared" si="2"/>
        <v>33.875612304435734</v>
      </c>
      <c r="H11" s="94">
        <f t="shared" si="3"/>
        <v>-73697</v>
      </c>
      <c r="I11" s="98">
        <f t="shared" si="4"/>
        <v>0</v>
      </c>
      <c r="J11" s="99">
        <f t="shared" si="5"/>
        <v>100</v>
      </c>
      <c r="K11" s="103" t="s">
        <v>80</v>
      </c>
      <c r="L11" s="103"/>
      <c r="M11" s="103"/>
      <c r="N11" s="103"/>
      <c r="O11" s="103"/>
      <c r="P11" s="103"/>
      <c r="Q11" s="103"/>
      <c r="R11" s="103"/>
      <c r="S11" s="103"/>
      <c r="T11" s="103"/>
      <c r="U11" s="103"/>
      <c r="V11" s="103"/>
    </row>
    <row r="12" spans="1:22" ht="30" x14ac:dyDescent="0.25">
      <c r="A12" s="2" t="s">
        <v>11</v>
      </c>
      <c r="B12" s="42">
        <v>0</v>
      </c>
      <c r="C12" s="43">
        <v>0</v>
      </c>
      <c r="D12" s="44">
        <f t="shared" si="0"/>
        <v>0</v>
      </c>
      <c r="E12" s="45">
        <v>0</v>
      </c>
      <c r="F12" s="46">
        <f t="shared" si="1"/>
        <v>0</v>
      </c>
      <c r="G12" s="97" t="e">
        <f t="shared" si="2"/>
        <v>#DIV/0!</v>
      </c>
      <c r="H12" s="94">
        <f t="shared" si="3"/>
        <v>0</v>
      </c>
      <c r="I12" s="98">
        <f t="shared" si="4"/>
        <v>0</v>
      </c>
      <c r="J12" s="99" t="e">
        <f t="shared" si="5"/>
        <v>#DIV/0!</v>
      </c>
      <c r="K12" s="103" t="s">
        <v>81</v>
      </c>
      <c r="L12" s="103"/>
      <c r="M12" s="103"/>
      <c r="N12" s="103"/>
      <c r="O12" s="103"/>
      <c r="P12" s="103"/>
      <c r="Q12" s="103"/>
      <c r="R12" s="103"/>
      <c r="S12" s="103"/>
      <c r="T12" s="103"/>
      <c r="U12" s="103"/>
      <c r="V12" s="103"/>
    </row>
    <row r="13" spans="1:22" x14ac:dyDescent="0.25">
      <c r="A13" s="2"/>
      <c r="B13" s="42"/>
      <c r="C13" s="43"/>
      <c r="D13" s="44"/>
      <c r="E13" s="45"/>
      <c r="F13" s="46"/>
      <c r="G13" s="97"/>
      <c r="H13" s="94">
        <f t="shared" si="3"/>
        <v>0</v>
      </c>
      <c r="I13" s="98">
        <f t="shared" si="4"/>
        <v>0</v>
      </c>
      <c r="J13" s="99" t="e">
        <f t="shared" si="5"/>
        <v>#DIV/0!</v>
      </c>
      <c r="K13" s="20"/>
      <c r="L13" s="20"/>
      <c r="M13" s="20"/>
      <c r="N13" s="20"/>
      <c r="O13" s="20"/>
      <c r="P13" s="20"/>
      <c r="Q13" s="20"/>
      <c r="R13" s="20"/>
      <c r="S13" s="20"/>
      <c r="T13" s="20"/>
      <c r="U13" s="20"/>
      <c r="V13" s="20"/>
    </row>
    <row r="14" spans="1:22" x14ac:dyDescent="0.25">
      <c r="A14" s="12" t="s">
        <v>53</v>
      </c>
      <c r="B14" s="47"/>
      <c r="C14" s="47"/>
      <c r="D14" s="48">
        <f>SUM(D7:D13)</f>
        <v>-317062.31</v>
      </c>
      <c r="E14" s="48">
        <f>SUM(E7:E13)</f>
        <v>-453505</v>
      </c>
      <c r="F14" s="47">
        <f t="shared" si="1"/>
        <v>-136442.69</v>
      </c>
      <c r="G14" s="47">
        <f t="shared" si="2"/>
        <v>69.913740752582655</v>
      </c>
      <c r="H14" s="48">
        <f>SUM(H7:H13)</f>
        <v>-453505</v>
      </c>
      <c r="I14" s="47">
        <f t="shared" si="4"/>
        <v>0</v>
      </c>
      <c r="J14" s="47">
        <f t="shared" si="5"/>
        <v>100</v>
      </c>
      <c r="K14" s="104" t="s">
        <v>57</v>
      </c>
      <c r="L14" s="104"/>
      <c r="M14" s="104"/>
      <c r="N14" s="104"/>
      <c r="O14" s="104"/>
      <c r="P14" s="104"/>
      <c r="Q14" s="104"/>
      <c r="R14" s="104"/>
      <c r="S14" s="104"/>
      <c r="T14" s="104"/>
      <c r="U14" s="104"/>
      <c r="V14" s="104"/>
    </row>
    <row r="15" spans="1:22" x14ac:dyDescent="0.25">
      <c r="A15" s="13" t="s">
        <v>58</v>
      </c>
      <c r="B15" s="47">
        <f>SUM(B6:B13)</f>
        <v>-664625.55000000005</v>
      </c>
      <c r="C15" s="47">
        <f>SUM(C6:C13)</f>
        <v>0</v>
      </c>
      <c r="D15" s="47">
        <f t="shared" si="0"/>
        <v>-664625.55000000005</v>
      </c>
      <c r="E15" s="48">
        <f>SUM(E6:E13)</f>
        <v>-801068.24</v>
      </c>
      <c r="F15" s="47">
        <f t="shared" si="1"/>
        <v>-136442.68999999994</v>
      </c>
      <c r="G15" s="47">
        <f t="shared" si="2"/>
        <v>82.967407370937593</v>
      </c>
      <c r="H15" s="48">
        <f>H14+B6</f>
        <v>-801068.24</v>
      </c>
      <c r="I15" s="47">
        <f t="shared" si="4"/>
        <v>0</v>
      </c>
      <c r="J15" s="47">
        <f t="shared" si="5"/>
        <v>100</v>
      </c>
      <c r="K15" s="20" t="s">
        <v>59</v>
      </c>
      <c r="L15" s="20"/>
      <c r="M15" s="20"/>
      <c r="N15" s="20"/>
      <c r="O15" s="20"/>
      <c r="P15" s="20"/>
      <c r="Q15" s="20"/>
      <c r="R15" s="20"/>
      <c r="S15" s="20"/>
      <c r="T15" s="20"/>
      <c r="U15" s="20"/>
      <c r="V15" s="20"/>
    </row>
    <row r="16" spans="1:22" x14ac:dyDescent="0.25">
      <c r="A16" s="5"/>
      <c r="B16" s="49"/>
      <c r="C16" s="49"/>
      <c r="D16" s="49"/>
      <c r="E16" s="50"/>
      <c r="F16" s="49"/>
      <c r="G16" s="49"/>
      <c r="H16" s="50"/>
      <c r="I16" s="49"/>
      <c r="J16" s="49"/>
      <c r="K16" s="20"/>
      <c r="L16" s="20"/>
      <c r="M16" s="20"/>
      <c r="N16" s="20"/>
      <c r="O16" s="20"/>
      <c r="P16" s="20"/>
      <c r="Q16" s="20"/>
      <c r="R16" s="20"/>
      <c r="S16" s="20"/>
      <c r="T16" s="20"/>
      <c r="U16" s="20"/>
      <c r="V16" s="20"/>
    </row>
    <row r="17" spans="1:22" x14ac:dyDescent="0.25">
      <c r="A17" s="2" t="s">
        <v>72</v>
      </c>
      <c r="B17" s="42">
        <v>0</v>
      </c>
      <c r="C17" s="43">
        <v>0</v>
      </c>
      <c r="D17" s="44">
        <f t="shared" si="0"/>
        <v>0</v>
      </c>
      <c r="E17" s="45">
        <v>11197</v>
      </c>
      <c r="F17" s="46">
        <f t="shared" si="1"/>
        <v>11197</v>
      </c>
      <c r="G17" s="97">
        <f t="shared" si="2"/>
        <v>0</v>
      </c>
      <c r="H17" s="94">
        <f>E17</f>
        <v>11197</v>
      </c>
      <c r="I17" s="98">
        <f t="shared" si="4"/>
        <v>0</v>
      </c>
      <c r="J17" s="99">
        <f t="shared" si="5"/>
        <v>100</v>
      </c>
      <c r="K17" s="104" t="s">
        <v>60</v>
      </c>
      <c r="L17" s="104"/>
      <c r="M17" s="104"/>
      <c r="N17" s="104"/>
      <c r="O17" s="104"/>
      <c r="P17" s="104"/>
      <c r="Q17" s="104"/>
      <c r="R17" s="104"/>
      <c r="S17" s="104"/>
      <c r="T17" s="104"/>
      <c r="U17" s="104"/>
      <c r="V17" s="104"/>
    </row>
    <row r="18" spans="1:22" x14ac:dyDescent="0.25">
      <c r="A18" s="2" t="s">
        <v>73</v>
      </c>
      <c r="B18" s="42">
        <v>2384</v>
      </c>
      <c r="C18" s="43">
        <v>0</v>
      </c>
      <c r="D18" s="44">
        <f t="shared" si="0"/>
        <v>2384</v>
      </c>
      <c r="E18" s="45">
        <v>6763</v>
      </c>
      <c r="F18" s="46">
        <f t="shared" si="1"/>
        <v>4379</v>
      </c>
      <c r="G18" s="97">
        <f t="shared" si="2"/>
        <v>35.250628419340529</v>
      </c>
      <c r="H18" s="94">
        <f t="shared" ref="H18:H43" si="6">E18</f>
        <v>6763</v>
      </c>
      <c r="I18" s="98">
        <f t="shared" si="4"/>
        <v>0</v>
      </c>
      <c r="J18" s="99">
        <f t="shared" si="5"/>
        <v>100</v>
      </c>
      <c r="K18" s="104" t="s">
        <v>50</v>
      </c>
      <c r="L18" s="104"/>
      <c r="M18" s="104"/>
      <c r="N18" s="104"/>
      <c r="O18" s="104"/>
      <c r="P18" s="104"/>
      <c r="Q18" s="104"/>
      <c r="R18" s="104"/>
      <c r="S18" s="104"/>
      <c r="T18" s="104"/>
      <c r="U18" s="104"/>
      <c r="V18" s="104"/>
    </row>
    <row r="19" spans="1:22" x14ac:dyDescent="0.25">
      <c r="A19" s="5" t="s">
        <v>14</v>
      </c>
      <c r="B19" s="49"/>
      <c r="C19" s="49"/>
      <c r="D19" s="49"/>
      <c r="E19" s="50"/>
      <c r="F19" s="49"/>
      <c r="G19" s="49"/>
      <c r="H19" s="61"/>
      <c r="I19" s="49"/>
      <c r="J19" s="49"/>
      <c r="K19" s="20"/>
      <c r="L19" s="20"/>
      <c r="M19" s="20"/>
      <c r="N19" s="20"/>
      <c r="O19" s="20"/>
      <c r="P19" s="20"/>
      <c r="Q19" s="20"/>
      <c r="R19" s="20"/>
      <c r="S19" s="20"/>
      <c r="T19" s="20"/>
      <c r="U19" s="20"/>
      <c r="V19" s="20"/>
    </row>
    <row r="20" spans="1:22" x14ac:dyDescent="0.25">
      <c r="A20" s="2" t="s">
        <v>15</v>
      </c>
      <c r="B20" s="42">
        <v>29548.74</v>
      </c>
      <c r="C20" s="43">
        <v>0</v>
      </c>
      <c r="D20" s="44">
        <f t="shared" si="0"/>
        <v>29548.74</v>
      </c>
      <c r="E20" s="45">
        <v>59088</v>
      </c>
      <c r="F20" s="46">
        <f t="shared" si="1"/>
        <v>29539.26</v>
      </c>
      <c r="G20" s="97">
        <f t="shared" si="2"/>
        <v>50.008021933387496</v>
      </c>
      <c r="H20" s="94">
        <f t="shared" si="6"/>
        <v>59088</v>
      </c>
      <c r="I20" s="98">
        <f t="shared" si="4"/>
        <v>0</v>
      </c>
      <c r="J20" s="99">
        <f t="shared" si="5"/>
        <v>100</v>
      </c>
      <c r="K20" s="20" t="s">
        <v>61</v>
      </c>
      <c r="L20" s="20"/>
      <c r="M20" s="20"/>
      <c r="N20" s="20"/>
      <c r="O20" s="20"/>
      <c r="P20" s="20"/>
      <c r="Q20" s="20"/>
      <c r="R20" s="20"/>
      <c r="S20" s="20"/>
      <c r="T20" s="20"/>
      <c r="U20" s="20"/>
      <c r="V20" s="20"/>
    </row>
    <row r="21" spans="1:22" x14ac:dyDescent="0.25">
      <c r="A21" s="2" t="s">
        <v>16</v>
      </c>
      <c r="B21" s="42">
        <v>12338.77</v>
      </c>
      <c r="C21" s="43">
        <v>0</v>
      </c>
      <c r="D21" s="44">
        <f t="shared" si="0"/>
        <v>12338.77</v>
      </c>
      <c r="E21" s="45">
        <v>24147</v>
      </c>
      <c r="F21" s="46">
        <f t="shared" si="1"/>
        <v>11808.23</v>
      </c>
      <c r="G21" s="97">
        <f t="shared" si="2"/>
        <v>51.0985629684847</v>
      </c>
      <c r="H21" s="94">
        <f t="shared" si="6"/>
        <v>24147</v>
      </c>
      <c r="I21" s="98">
        <f t="shared" si="4"/>
        <v>0</v>
      </c>
      <c r="J21" s="99">
        <f t="shared" si="5"/>
        <v>100</v>
      </c>
      <c r="K21" s="20" t="s">
        <v>61</v>
      </c>
      <c r="L21" s="20"/>
      <c r="M21" s="20"/>
      <c r="N21" s="60"/>
      <c r="O21" s="20"/>
      <c r="P21" s="20"/>
      <c r="Q21" s="20"/>
      <c r="R21" s="20"/>
      <c r="S21" s="20"/>
      <c r="T21" s="20"/>
      <c r="U21" s="20"/>
      <c r="V21" s="20"/>
    </row>
    <row r="22" spans="1:22" x14ac:dyDescent="0.25">
      <c r="A22" s="2" t="s">
        <v>17</v>
      </c>
      <c r="B22" s="42">
        <v>242</v>
      </c>
      <c r="C22" s="43">
        <v>0</v>
      </c>
      <c r="D22" s="44">
        <f t="shared" si="0"/>
        <v>242</v>
      </c>
      <c r="E22" s="45">
        <v>1941</v>
      </c>
      <c r="F22" s="46">
        <f t="shared" si="1"/>
        <v>1699</v>
      </c>
      <c r="G22" s="97">
        <f t="shared" si="2"/>
        <v>12.46780010303967</v>
      </c>
      <c r="H22" s="94">
        <f t="shared" si="6"/>
        <v>1941</v>
      </c>
      <c r="I22" s="98">
        <f t="shared" si="4"/>
        <v>0</v>
      </c>
      <c r="J22" s="99">
        <f t="shared" si="5"/>
        <v>100</v>
      </c>
      <c r="K22" s="20"/>
      <c r="L22" s="20"/>
      <c r="M22" s="20"/>
      <c r="N22" s="20"/>
      <c r="O22" s="20"/>
      <c r="P22" s="20"/>
      <c r="Q22" s="20"/>
      <c r="R22" s="20"/>
      <c r="S22" s="20"/>
      <c r="T22" s="20"/>
      <c r="U22" s="20"/>
      <c r="V22" s="20"/>
    </row>
    <row r="23" spans="1:22" x14ac:dyDescent="0.25">
      <c r="A23" s="5" t="s">
        <v>82</v>
      </c>
      <c r="B23" s="49"/>
      <c r="C23" s="49"/>
      <c r="D23" s="49"/>
      <c r="E23" s="50"/>
      <c r="F23" s="49"/>
      <c r="G23" s="49"/>
      <c r="H23" s="61"/>
      <c r="I23" s="49"/>
      <c r="J23" s="49"/>
      <c r="K23" s="20"/>
      <c r="L23" s="20"/>
      <c r="M23" s="20"/>
      <c r="N23" s="20"/>
      <c r="O23" s="20"/>
      <c r="P23" s="20"/>
      <c r="Q23" s="20"/>
      <c r="R23" s="20"/>
      <c r="S23" s="20"/>
      <c r="T23" s="20"/>
      <c r="U23" s="20"/>
      <c r="V23" s="20"/>
    </row>
    <row r="24" spans="1:22" ht="30" x14ac:dyDescent="0.25">
      <c r="A24" s="2" t="s">
        <v>39</v>
      </c>
      <c r="B24" s="42">
        <v>0</v>
      </c>
      <c r="C24" s="43">
        <v>0</v>
      </c>
      <c r="D24" s="44">
        <f t="shared" si="0"/>
        <v>0</v>
      </c>
      <c r="E24" s="45">
        <v>3000</v>
      </c>
      <c r="F24" s="46">
        <f t="shared" si="1"/>
        <v>3000</v>
      </c>
      <c r="G24" s="97">
        <f t="shared" si="2"/>
        <v>0</v>
      </c>
      <c r="H24" s="94">
        <f t="shared" si="6"/>
        <v>3000</v>
      </c>
      <c r="I24" s="98">
        <f t="shared" si="4"/>
        <v>0</v>
      </c>
      <c r="J24" s="99">
        <f t="shared" si="5"/>
        <v>100</v>
      </c>
      <c r="K24" s="103" t="s">
        <v>84</v>
      </c>
      <c r="L24" s="103"/>
      <c r="M24" s="103"/>
      <c r="N24" s="103"/>
      <c r="O24" s="103"/>
      <c r="P24" s="103"/>
      <c r="Q24" s="103"/>
      <c r="R24" s="103"/>
      <c r="S24" s="103"/>
      <c r="T24" s="103"/>
      <c r="U24" s="103"/>
      <c r="V24" s="103"/>
    </row>
    <row r="25" spans="1:22" x14ac:dyDescent="0.25">
      <c r="A25" s="2" t="s">
        <v>18</v>
      </c>
      <c r="B25" s="42">
        <v>859.99</v>
      </c>
      <c r="C25" s="43">
        <v>0</v>
      </c>
      <c r="D25" s="44">
        <f t="shared" si="0"/>
        <v>859.99</v>
      </c>
      <c r="E25" s="45">
        <v>1885.76</v>
      </c>
      <c r="F25" s="46">
        <f t="shared" si="1"/>
        <v>1025.77</v>
      </c>
      <c r="G25" s="97">
        <f t="shared" si="2"/>
        <v>45.604424741218395</v>
      </c>
      <c r="H25" s="94">
        <f t="shared" si="6"/>
        <v>1885.76</v>
      </c>
      <c r="I25" s="98">
        <f t="shared" si="4"/>
        <v>0</v>
      </c>
      <c r="J25" s="99">
        <f t="shared" si="5"/>
        <v>99.999999999999986</v>
      </c>
      <c r="K25" s="20" t="s">
        <v>62</v>
      </c>
      <c r="L25" s="20"/>
      <c r="M25" s="20"/>
      <c r="N25" s="20"/>
      <c r="O25" s="20"/>
      <c r="P25" s="20"/>
      <c r="Q25" s="20"/>
      <c r="R25" s="20"/>
      <c r="S25" s="20"/>
      <c r="T25" s="20"/>
      <c r="U25" s="20"/>
      <c r="V25" s="20"/>
    </row>
    <row r="26" spans="1:22" x14ac:dyDescent="0.25">
      <c r="A26" s="2" t="s">
        <v>19</v>
      </c>
      <c r="B26" s="42">
        <v>0</v>
      </c>
      <c r="C26" s="43">
        <v>0</v>
      </c>
      <c r="D26" s="44">
        <f t="shared" si="0"/>
        <v>0</v>
      </c>
      <c r="E26" s="45">
        <v>650</v>
      </c>
      <c r="F26" s="46">
        <f t="shared" si="1"/>
        <v>650</v>
      </c>
      <c r="G26" s="97">
        <f t="shared" si="2"/>
        <v>0</v>
      </c>
      <c r="H26" s="94">
        <f t="shared" si="6"/>
        <v>650</v>
      </c>
      <c r="I26" s="98">
        <f t="shared" si="4"/>
        <v>0</v>
      </c>
      <c r="J26" s="99">
        <f t="shared" si="5"/>
        <v>100</v>
      </c>
      <c r="K26" s="20"/>
      <c r="L26" s="20"/>
      <c r="M26" s="20"/>
      <c r="N26" s="20"/>
      <c r="O26" s="20"/>
      <c r="P26" s="20"/>
      <c r="Q26" s="20"/>
      <c r="R26" s="20"/>
      <c r="S26" s="20"/>
      <c r="T26" s="20"/>
      <c r="U26" s="20"/>
      <c r="V26" s="20"/>
    </row>
    <row r="27" spans="1:22" x14ac:dyDescent="0.25">
      <c r="A27" s="2" t="s">
        <v>75</v>
      </c>
      <c r="B27" s="42">
        <v>0</v>
      </c>
      <c r="C27" s="43">
        <v>0</v>
      </c>
      <c r="D27" s="44">
        <f t="shared" si="0"/>
        <v>0</v>
      </c>
      <c r="E27" s="45">
        <v>0</v>
      </c>
      <c r="F27" s="46">
        <f t="shared" si="1"/>
        <v>0</v>
      </c>
      <c r="G27" s="97" t="e">
        <f t="shared" si="2"/>
        <v>#DIV/0!</v>
      </c>
      <c r="H27" s="94">
        <f t="shared" si="6"/>
        <v>0</v>
      </c>
      <c r="I27" s="98">
        <f t="shared" si="4"/>
        <v>0</v>
      </c>
      <c r="J27" s="99" t="e">
        <f t="shared" si="5"/>
        <v>#DIV/0!</v>
      </c>
      <c r="K27" s="20" t="s">
        <v>83</v>
      </c>
      <c r="L27" s="20"/>
      <c r="M27" s="20"/>
      <c r="N27" s="20"/>
      <c r="O27" s="20"/>
      <c r="P27" s="20"/>
      <c r="Q27" s="20"/>
      <c r="R27" s="20"/>
      <c r="S27" s="20"/>
      <c r="T27" s="20"/>
      <c r="U27" s="20"/>
      <c r="V27" s="20"/>
    </row>
    <row r="28" spans="1:22" x14ac:dyDescent="0.25">
      <c r="A28" s="2" t="s">
        <v>12</v>
      </c>
      <c r="B28" s="42">
        <v>0</v>
      </c>
      <c r="C28" s="43">
        <v>0</v>
      </c>
      <c r="D28" s="44">
        <f t="shared" si="0"/>
        <v>0</v>
      </c>
      <c r="E28" s="45">
        <v>20000</v>
      </c>
      <c r="F28" s="46">
        <f t="shared" si="1"/>
        <v>20000</v>
      </c>
      <c r="G28" s="97">
        <f t="shared" si="2"/>
        <v>0</v>
      </c>
      <c r="H28" s="94">
        <f t="shared" si="6"/>
        <v>20000</v>
      </c>
      <c r="I28" s="98">
        <f t="shared" si="4"/>
        <v>0</v>
      </c>
      <c r="J28" s="99">
        <f t="shared" si="5"/>
        <v>100</v>
      </c>
      <c r="K28" s="20" t="s">
        <v>78</v>
      </c>
      <c r="L28" s="20"/>
      <c r="M28" s="20"/>
      <c r="N28" s="20"/>
      <c r="O28" s="20"/>
      <c r="P28" s="20"/>
      <c r="Q28" s="20"/>
      <c r="R28" s="20"/>
      <c r="S28" s="60"/>
      <c r="T28" s="20"/>
      <c r="U28" s="20"/>
      <c r="V28" s="20"/>
    </row>
    <row r="29" spans="1:22" x14ac:dyDescent="0.25">
      <c r="A29" s="5" t="s">
        <v>30</v>
      </c>
      <c r="B29" s="49"/>
      <c r="C29" s="49"/>
      <c r="D29" s="49"/>
      <c r="E29" s="50"/>
      <c r="F29" s="49"/>
      <c r="G29" s="49"/>
      <c r="H29" s="61"/>
      <c r="I29" s="49"/>
      <c r="J29" s="49"/>
      <c r="K29" s="20"/>
      <c r="L29" s="20"/>
      <c r="M29" s="20"/>
      <c r="N29" s="20"/>
      <c r="O29" s="20"/>
      <c r="P29" s="20"/>
      <c r="Q29" s="20"/>
      <c r="R29" s="20"/>
      <c r="S29" s="20"/>
      <c r="T29" s="20"/>
      <c r="U29" s="20"/>
      <c r="V29" s="20"/>
    </row>
    <row r="30" spans="1:22" ht="60" x14ac:dyDescent="0.25">
      <c r="A30" s="2" t="s">
        <v>20</v>
      </c>
      <c r="B30" s="42">
        <v>0</v>
      </c>
      <c r="C30" s="43">
        <v>0</v>
      </c>
      <c r="D30" s="44">
        <f t="shared" si="0"/>
        <v>0</v>
      </c>
      <c r="E30" s="45">
        <v>6500</v>
      </c>
      <c r="F30" s="46">
        <f t="shared" si="1"/>
        <v>6500</v>
      </c>
      <c r="G30" s="97">
        <f t="shared" si="2"/>
        <v>0</v>
      </c>
      <c r="H30" s="94">
        <f t="shared" si="6"/>
        <v>6500</v>
      </c>
      <c r="I30" s="98">
        <f t="shared" si="4"/>
        <v>0</v>
      </c>
      <c r="J30" s="99">
        <f t="shared" si="5"/>
        <v>100</v>
      </c>
      <c r="K30" s="103" t="s">
        <v>63</v>
      </c>
      <c r="L30" s="103"/>
      <c r="M30" s="103"/>
      <c r="N30" s="103"/>
      <c r="O30" s="103"/>
      <c r="P30" s="103"/>
      <c r="Q30" s="103"/>
      <c r="R30" s="103"/>
      <c r="S30" s="103"/>
      <c r="T30" s="103"/>
      <c r="U30" s="103"/>
      <c r="V30" s="103"/>
    </row>
    <row r="31" spans="1:22" x14ac:dyDescent="0.25">
      <c r="A31" s="3" t="s">
        <v>21</v>
      </c>
      <c r="B31" s="42">
        <v>0</v>
      </c>
      <c r="C31" s="43">
        <v>0</v>
      </c>
      <c r="D31" s="44">
        <f t="shared" si="0"/>
        <v>0</v>
      </c>
      <c r="E31" s="45">
        <v>0</v>
      </c>
      <c r="F31" s="46">
        <f t="shared" si="1"/>
        <v>0</v>
      </c>
      <c r="G31" s="97" t="e">
        <f t="shared" si="2"/>
        <v>#DIV/0!</v>
      </c>
      <c r="H31" s="94">
        <f t="shared" si="6"/>
        <v>0</v>
      </c>
      <c r="I31" s="98">
        <f t="shared" si="4"/>
        <v>0</v>
      </c>
      <c r="J31" s="99" t="e">
        <f t="shared" si="5"/>
        <v>#DIV/0!</v>
      </c>
      <c r="K31" s="103" t="s">
        <v>64</v>
      </c>
      <c r="L31" s="20"/>
      <c r="M31" s="20"/>
      <c r="N31" s="20"/>
      <c r="O31" s="20"/>
      <c r="P31" s="20"/>
      <c r="Q31" s="20"/>
      <c r="R31" s="20"/>
      <c r="S31" s="20"/>
      <c r="T31" s="20"/>
      <c r="U31" s="20"/>
      <c r="V31" s="20"/>
    </row>
    <row r="32" spans="1:22" x14ac:dyDescent="0.25">
      <c r="A32" s="3" t="s">
        <v>22</v>
      </c>
      <c r="B32" s="42">
        <v>0</v>
      </c>
      <c r="C32" s="43">
        <v>0</v>
      </c>
      <c r="D32" s="44">
        <f t="shared" si="0"/>
        <v>0</v>
      </c>
      <c r="E32" s="45">
        <v>0</v>
      </c>
      <c r="F32" s="46">
        <f t="shared" si="1"/>
        <v>0</v>
      </c>
      <c r="G32" s="97" t="e">
        <f t="shared" si="2"/>
        <v>#DIV/0!</v>
      </c>
      <c r="H32" s="94">
        <f t="shared" si="6"/>
        <v>0</v>
      </c>
      <c r="I32" s="98">
        <f t="shared" si="4"/>
        <v>0</v>
      </c>
      <c r="J32" s="99" t="e">
        <f t="shared" si="5"/>
        <v>#DIV/0!</v>
      </c>
      <c r="K32" s="103"/>
      <c r="L32" s="20"/>
      <c r="M32" s="20"/>
      <c r="N32" s="20"/>
      <c r="O32" s="20"/>
      <c r="P32" s="20"/>
      <c r="Q32" s="20"/>
      <c r="R32" s="20"/>
      <c r="S32" s="20"/>
      <c r="T32" s="20"/>
      <c r="U32" s="20"/>
      <c r="V32" s="20"/>
    </row>
    <row r="33" spans="1:22" x14ac:dyDescent="0.25">
      <c r="A33" s="3" t="s">
        <v>23</v>
      </c>
      <c r="B33" s="42">
        <v>0</v>
      </c>
      <c r="C33" s="43">
        <v>0</v>
      </c>
      <c r="D33" s="44">
        <f t="shared" si="0"/>
        <v>0</v>
      </c>
      <c r="E33" s="45">
        <v>0</v>
      </c>
      <c r="F33" s="46">
        <f t="shared" si="1"/>
        <v>0</v>
      </c>
      <c r="G33" s="97" t="e">
        <f t="shared" si="2"/>
        <v>#DIV/0!</v>
      </c>
      <c r="H33" s="94">
        <f t="shared" si="6"/>
        <v>0</v>
      </c>
      <c r="I33" s="98">
        <f t="shared" si="4"/>
        <v>0</v>
      </c>
      <c r="J33" s="99" t="e">
        <f t="shared" si="5"/>
        <v>#DIV/0!</v>
      </c>
      <c r="K33" s="103"/>
      <c r="L33" s="20"/>
      <c r="M33" s="20"/>
      <c r="N33" s="20"/>
      <c r="O33" s="20"/>
      <c r="P33" s="20"/>
      <c r="Q33" s="20"/>
      <c r="R33" s="20"/>
      <c r="S33" s="20"/>
      <c r="T33" s="20"/>
      <c r="U33" s="20"/>
      <c r="V33" s="20"/>
    </row>
    <row r="34" spans="1:22" x14ac:dyDescent="0.25">
      <c r="A34" s="3" t="s">
        <v>24</v>
      </c>
      <c r="B34" s="42">
        <v>0</v>
      </c>
      <c r="C34" s="43">
        <v>0</v>
      </c>
      <c r="D34" s="44">
        <f t="shared" si="0"/>
        <v>0</v>
      </c>
      <c r="E34" s="45">
        <v>0</v>
      </c>
      <c r="F34" s="46">
        <f t="shared" si="1"/>
        <v>0</v>
      </c>
      <c r="G34" s="97" t="e">
        <f t="shared" si="2"/>
        <v>#DIV/0!</v>
      </c>
      <c r="H34" s="94">
        <f t="shared" si="6"/>
        <v>0</v>
      </c>
      <c r="I34" s="98">
        <f t="shared" si="4"/>
        <v>0</v>
      </c>
      <c r="J34" s="99" t="e">
        <f t="shared" si="5"/>
        <v>#DIV/0!</v>
      </c>
      <c r="K34" s="103"/>
      <c r="L34" s="20"/>
      <c r="M34" s="20"/>
      <c r="N34" s="20"/>
      <c r="O34" s="20"/>
      <c r="P34" s="20"/>
      <c r="Q34" s="20"/>
      <c r="R34" s="20"/>
      <c r="S34" s="20"/>
      <c r="T34" s="20"/>
      <c r="U34" s="20"/>
      <c r="V34" s="20"/>
    </row>
    <row r="35" spans="1:22" x14ac:dyDescent="0.25">
      <c r="A35" s="3" t="s">
        <v>25</v>
      </c>
      <c r="B35" s="42">
        <v>0</v>
      </c>
      <c r="C35" s="43">
        <v>0</v>
      </c>
      <c r="D35" s="44">
        <f t="shared" si="0"/>
        <v>0</v>
      </c>
      <c r="E35" s="45">
        <v>0</v>
      </c>
      <c r="F35" s="46">
        <f t="shared" si="1"/>
        <v>0</v>
      </c>
      <c r="G35" s="97" t="e">
        <f t="shared" si="2"/>
        <v>#DIV/0!</v>
      </c>
      <c r="H35" s="94">
        <f t="shared" si="6"/>
        <v>0</v>
      </c>
      <c r="I35" s="98">
        <f t="shared" si="4"/>
        <v>0</v>
      </c>
      <c r="J35" s="99" t="e">
        <f t="shared" si="5"/>
        <v>#DIV/0!</v>
      </c>
      <c r="K35" s="103"/>
      <c r="L35" s="20"/>
      <c r="M35" s="20"/>
      <c r="N35" s="20"/>
      <c r="O35" s="20"/>
      <c r="P35" s="20"/>
      <c r="Q35" s="20"/>
      <c r="R35" s="20"/>
      <c r="S35" s="20"/>
      <c r="T35" s="20"/>
      <c r="U35" s="20"/>
      <c r="V35" s="20"/>
    </row>
    <row r="36" spans="1:22" x14ac:dyDescent="0.25">
      <c r="A36" s="5" t="s">
        <v>31</v>
      </c>
      <c r="B36" s="42">
        <v>0</v>
      </c>
      <c r="C36" s="43">
        <v>0</v>
      </c>
      <c r="D36" s="44">
        <f t="shared" si="0"/>
        <v>0</v>
      </c>
      <c r="E36" s="45"/>
      <c r="F36" s="46">
        <f t="shared" si="1"/>
        <v>0</v>
      </c>
      <c r="G36" s="97" t="e">
        <f t="shared" si="2"/>
        <v>#DIV/0!</v>
      </c>
      <c r="H36" s="94">
        <f t="shared" si="6"/>
        <v>0</v>
      </c>
      <c r="I36" s="98">
        <f t="shared" si="4"/>
        <v>0</v>
      </c>
      <c r="J36" s="99" t="e">
        <f t="shared" si="5"/>
        <v>#DIV/0!</v>
      </c>
      <c r="K36" s="103"/>
      <c r="L36" s="20"/>
      <c r="M36" s="20"/>
      <c r="N36" s="20"/>
      <c r="O36" s="20"/>
      <c r="P36" s="20"/>
      <c r="Q36" s="20"/>
      <c r="R36" s="20"/>
      <c r="S36" s="20"/>
      <c r="T36" s="20"/>
      <c r="U36" s="20"/>
      <c r="V36" s="20"/>
    </row>
    <row r="37" spans="1:22" x14ac:dyDescent="0.25">
      <c r="A37" s="2" t="s">
        <v>26</v>
      </c>
      <c r="B37" s="42">
        <v>0</v>
      </c>
      <c r="C37" s="43">
        <v>0</v>
      </c>
      <c r="D37" s="44">
        <f t="shared" si="0"/>
        <v>0</v>
      </c>
      <c r="E37" s="45">
        <v>0</v>
      </c>
      <c r="F37" s="46">
        <f t="shared" si="1"/>
        <v>0</v>
      </c>
      <c r="G37" s="97" t="e">
        <f t="shared" si="2"/>
        <v>#DIV/0!</v>
      </c>
      <c r="H37" s="94">
        <f t="shared" si="6"/>
        <v>0</v>
      </c>
      <c r="I37" s="98">
        <f t="shared" si="4"/>
        <v>0</v>
      </c>
      <c r="J37" s="99" t="e">
        <f t="shared" si="5"/>
        <v>#DIV/0!</v>
      </c>
      <c r="K37" s="20" t="s">
        <v>66</v>
      </c>
      <c r="L37" s="20"/>
      <c r="M37" s="20"/>
      <c r="N37" s="20"/>
      <c r="O37" s="20"/>
      <c r="P37" s="20"/>
      <c r="Q37" s="20"/>
      <c r="R37" s="20"/>
      <c r="S37" s="20"/>
      <c r="T37" s="20"/>
      <c r="U37" s="20"/>
      <c r="V37" s="20"/>
    </row>
    <row r="38" spans="1:22" x14ac:dyDescent="0.25">
      <c r="A38" s="2" t="s">
        <v>27</v>
      </c>
      <c r="B38" s="42">
        <v>0</v>
      </c>
      <c r="C38" s="43">
        <v>0</v>
      </c>
      <c r="D38" s="44">
        <f t="shared" si="0"/>
        <v>0</v>
      </c>
      <c r="E38" s="45">
        <v>0</v>
      </c>
      <c r="F38" s="46">
        <f t="shared" si="1"/>
        <v>0</v>
      </c>
      <c r="G38" s="97" t="e">
        <f t="shared" si="2"/>
        <v>#DIV/0!</v>
      </c>
      <c r="H38" s="94">
        <f t="shared" si="6"/>
        <v>0</v>
      </c>
      <c r="I38" s="98">
        <f t="shared" si="4"/>
        <v>0</v>
      </c>
      <c r="J38" s="99" t="e">
        <f t="shared" si="5"/>
        <v>#DIV/0!</v>
      </c>
      <c r="K38" s="20" t="s">
        <v>74</v>
      </c>
      <c r="L38" s="20"/>
      <c r="M38" s="20"/>
      <c r="N38" s="20"/>
      <c r="O38" s="20"/>
      <c r="P38" s="20"/>
      <c r="Q38" s="20"/>
      <c r="R38" s="20"/>
      <c r="S38" s="20"/>
      <c r="T38" s="20"/>
      <c r="U38" s="20"/>
      <c r="V38" s="20"/>
    </row>
    <row r="39" spans="1:22" ht="18" customHeight="1" x14ac:dyDescent="0.25">
      <c r="A39" s="5" t="s">
        <v>32</v>
      </c>
      <c r="B39" s="49"/>
      <c r="C39" s="49"/>
      <c r="D39" s="49"/>
      <c r="E39" s="50"/>
      <c r="F39" s="49"/>
      <c r="G39" s="49"/>
      <c r="H39" s="61"/>
      <c r="I39" s="49"/>
      <c r="J39" s="49"/>
      <c r="K39" s="20"/>
      <c r="L39" s="20"/>
      <c r="M39" s="20"/>
      <c r="N39" s="20"/>
      <c r="O39" s="20"/>
      <c r="P39" s="20"/>
      <c r="Q39" s="20"/>
      <c r="R39" s="20"/>
      <c r="S39" s="20"/>
      <c r="T39" s="20"/>
      <c r="U39" s="20"/>
      <c r="V39" s="20"/>
    </row>
    <row r="40" spans="1:22" x14ac:dyDescent="0.25">
      <c r="A40" s="2" t="s">
        <v>28</v>
      </c>
      <c r="B40" s="42">
        <v>203383.5</v>
      </c>
      <c r="C40" s="43">
        <v>0</v>
      </c>
      <c r="D40" s="44">
        <f t="shared" si="0"/>
        <v>203383.5</v>
      </c>
      <c r="E40" s="45">
        <v>305499.15000000002</v>
      </c>
      <c r="F40" s="46">
        <f t="shared" si="1"/>
        <v>102115.65000000002</v>
      </c>
      <c r="G40" s="97">
        <f t="shared" si="2"/>
        <v>66.574162317636564</v>
      </c>
      <c r="H40" s="94">
        <f t="shared" si="6"/>
        <v>305499.15000000002</v>
      </c>
      <c r="I40" s="98">
        <f t="shared" si="4"/>
        <v>0</v>
      </c>
      <c r="J40" s="99">
        <f t="shared" si="5"/>
        <v>100</v>
      </c>
      <c r="K40" s="20" t="s">
        <v>67</v>
      </c>
      <c r="L40" s="20"/>
      <c r="M40" s="20"/>
      <c r="N40" s="20"/>
      <c r="O40" s="20"/>
      <c r="P40" s="20"/>
      <c r="Q40" s="20"/>
      <c r="R40" s="20"/>
      <c r="S40" s="20"/>
      <c r="T40" s="20"/>
      <c r="U40" s="20"/>
      <c r="V40" s="20"/>
    </row>
    <row r="41" spans="1:22" x14ac:dyDescent="0.25">
      <c r="A41" s="2" t="s">
        <v>29</v>
      </c>
      <c r="B41" s="42">
        <v>59278.79</v>
      </c>
      <c r="C41" s="43">
        <v>0</v>
      </c>
      <c r="D41" s="44">
        <f t="shared" si="0"/>
        <v>59278.79</v>
      </c>
      <c r="E41" s="45">
        <v>104503.85</v>
      </c>
      <c r="F41" s="46">
        <f t="shared" si="1"/>
        <v>45225.060000000005</v>
      </c>
      <c r="G41" s="97">
        <f t="shared" si="2"/>
        <v>56.72402500003588</v>
      </c>
      <c r="H41" s="94">
        <f t="shared" si="6"/>
        <v>104503.85</v>
      </c>
      <c r="I41" s="98">
        <f t="shared" si="4"/>
        <v>0</v>
      </c>
      <c r="J41" s="99">
        <f t="shared" si="5"/>
        <v>100</v>
      </c>
      <c r="K41" s="20" t="s">
        <v>68</v>
      </c>
      <c r="L41" s="20"/>
      <c r="M41" s="20"/>
      <c r="N41" s="20"/>
      <c r="O41" s="20"/>
      <c r="P41" s="20"/>
      <c r="Q41" s="20"/>
      <c r="R41" s="20"/>
      <c r="S41" s="20"/>
      <c r="T41" s="20"/>
      <c r="U41" s="20"/>
      <c r="V41" s="20"/>
    </row>
    <row r="42" spans="1:22" x14ac:dyDescent="0.25">
      <c r="A42" s="2" t="s">
        <v>76</v>
      </c>
      <c r="B42" s="42">
        <v>0</v>
      </c>
      <c r="C42" s="43">
        <v>0</v>
      </c>
      <c r="D42" s="44">
        <f t="shared" si="0"/>
        <v>0</v>
      </c>
      <c r="E42" s="45"/>
      <c r="F42" s="46">
        <f t="shared" si="1"/>
        <v>0</v>
      </c>
      <c r="G42" s="97" t="e">
        <f t="shared" si="2"/>
        <v>#DIV/0!</v>
      </c>
      <c r="H42" s="94">
        <f t="shared" si="6"/>
        <v>0</v>
      </c>
      <c r="I42" s="98">
        <f t="shared" si="4"/>
        <v>0</v>
      </c>
      <c r="J42" s="99" t="e">
        <f t="shared" si="5"/>
        <v>#DIV/0!</v>
      </c>
      <c r="K42" s="20" t="s">
        <v>77</v>
      </c>
      <c r="L42" s="20"/>
      <c r="M42" s="20"/>
      <c r="N42" s="20"/>
      <c r="O42" s="20"/>
      <c r="P42" s="20"/>
      <c r="Q42" s="20"/>
      <c r="R42" s="20"/>
      <c r="S42" s="20"/>
      <c r="T42" s="20"/>
      <c r="U42" s="20"/>
      <c r="V42" s="20"/>
    </row>
    <row r="43" spans="1:22" x14ac:dyDescent="0.25">
      <c r="A43" s="2"/>
      <c r="B43" s="42"/>
      <c r="C43" s="43"/>
      <c r="D43" s="44"/>
      <c r="E43" s="45"/>
      <c r="F43" s="46"/>
      <c r="G43" s="97"/>
      <c r="H43" s="94">
        <f t="shared" si="6"/>
        <v>0</v>
      </c>
      <c r="I43" s="98"/>
      <c r="J43" s="99"/>
      <c r="K43" s="20"/>
      <c r="L43" s="20"/>
      <c r="M43" s="20"/>
      <c r="N43" s="20"/>
      <c r="O43" s="20"/>
      <c r="P43" s="20"/>
      <c r="Q43" s="20"/>
      <c r="R43" s="20"/>
      <c r="S43" s="20"/>
      <c r="T43" s="20"/>
      <c r="U43" s="20"/>
      <c r="V43" s="20"/>
    </row>
    <row r="44" spans="1:22" x14ac:dyDescent="0.25">
      <c r="A44" s="2" t="s">
        <v>36</v>
      </c>
      <c r="B44" s="8">
        <f>SUM(B17:B43)</f>
        <v>308035.78999999998</v>
      </c>
      <c r="C44" s="8">
        <f t="shared" ref="C44:F44" si="7">SUM(C17:C43)</f>
        <v>0</v>
      </c>
      <c r="D44" s="15">
        <f t="shared" ref="D44" si="8">B44+C44</f>
        <v>308035.78999999998</v>
      </c>
      <c r="E44" s="8">
        <f t="shared" si="7"/>
        <v>545174.76</v>
      </c>
      <c r="F44" s="18">
        <f t="shared" si="7"/>
        <v>237138.97</v>
      </c>
      <c r="G44" s="17">
        <f t="shared" ref="G44" si="9">D44/E44%</f>
        <v>56.502210410474618</v>
      </c>
      <c r="H44" s="9">
        <f>SUM(H17:H43)</f>
        <v>545174.76</v>
      </c>
      <c r="I44" s="15">
        <f t="shared" ref="I44" si="10">E44-H44</f>
        <v>0</v>
      </c>
      <c r="J44" s="17">
        <f t="shared" ref="J44" si="11">H44/E44%</f>
        <v>100.00000000000001</v>
      </c>
      <c r="K44" s="20"/>
      <c r="L44" s="20"/>
      <c r="M44" s="20"/>
      <c r="N44" s="20"/>
      <c r="O44" s="20"/>
      <c r="P44" s="20"/>
      <c r="Q44" s="20"/>
      <c r="R44" s="20"/>
      <c r="S44" s="20"/>
      <c r="T44" s="20"/>
      <c r="U44" s="20"/>
      <c r="V44" s="20"/>
    </row>
    <row r="45" spans="1:22" x14ac:dyDescent="0.25">
      <c r="A45" s="1" t="s">
        <v>51</v>
      </c>
      <c r="B45" s="9"/>
      <c r="C45" s="9"/>
      <c r="D45" s="9">
        <f>D44+D14</f>
        <v>-9026.5200000000186</v>
      </c>
      <c r="E45" s="9">
        <f>E44+E14</f>
        <v>91669.760000000009</v>
      </c>
      <c r="F45" s="9"/>
      <c r="G45" s="9"/>
      <c r="H45" s="9">
        <f>H44+H14</f>
        <v>91669.760000000009</v>
      </c>
      <c r="I45" s="9"/>
      <c r="J45" s="9"/>
      <c r="K45" s="20"/>
      <c r="L45" s="20"/>
      <c r="M45" s="20"/>
      <c r="N45" s="20"/>
      <c r="O45" s="20"/>
      <c r="P45" s="20"/>
      <c r="Q45" s="20"/>
      <c r="R45" s="20"/>
      <c r="S45" s="20"/>
      <c r="T45" s="20"/>
      <c r="U45" s="20"/>
      <c r="V45" s="20"/>
    </row>
    <row r="46" spans="1:22" x14ac:dyDescent="0.25">
      <c r="A46" s="1" t="s">
        <v>52</v>
      </c>
      <c r="B46" s="9"/>
      <c r="C46" s="9"/>
      <c r="D46" s="9">
        <f>D6-D45</f>
        <v>-338536.72</v>
      </c>
      <c r="E46" s="9">
        <f>E6-E45</f>
        <v>-439233</v>
      </c>
      <c r="F46" s="9"/>
      <c r="G46" s="9"/>
      <c r="H46" s="9">
        <f>H6-H45</f>
        <v>-439233</v>
      </c>
      <c r="I46" s="9"/>
      <c r="J46" s="9"/>
      <c r="K46" s="20"/>
      <c r="L46" s="20"/>
      <c r="M46" s="20"/>
      <c r="N46" s="20"/>
      <c r="O46" s="20"/>
      <c r="P46" s="20"/>
      <c r="Q46" s="20"/>
      <c r="R46" s="20"/>
      <c r="S46" s="20"/>
      <c r="T46" s="20"/>
      <c r="U46" s="20"/>
      <c r="V46" s="20"/>
    </row>
    <row r="48" spans="1:22" x14ac:dyDescent="0.25">
      <c r="A48" s="1" t="s">
        <v>37</v>
      </c>
      <c r="D48" s="10"/>
      <c r="E48" s="10"/>
      <c r="F48" s="10"/>
      <c r="G48" s="11"/>
      <c r="H48" s="10"/>
      <c r="I48" s="10"/>
    </row>
    <row r="49" spans="1:10" x14ac:dyDescent="0.25">
      <c r="A49" s="1" t="s">
        <v>40</v>
      </c>
      <c r="B49">
        <f>D15</f>
        <v>-664625.55000000005</v>
      </c>
      <c r="G49"/>
      <c r="J49"/>
    </row>
    <row r="50" spans="1:10" x14ac:dyDescent="0.25">
      <c r="A50" s="1" t="s">
        <v>41</v>
      </c>
      <c r="B50">
        <f>D44</f>
        <v>308035.78999999998</v>
      </c>
      <c r="G50"/>
      <c r="J50"/>
    </row>
    <row r="51" spans="1:10" x14ac:dyDescent="0.25">
      <c r="A51" s="1" t="s">
        <v>42</v>
      </c>
      <c r="B51">
        <f>H15</f>
        <v>-801068.24</v>
      </c>
    </row>
    <row r="52" spans="1:10" x14ac:dyDescent="0.25">
      <c r="A52" s="1" t="s">
        <v>71</v>
      </c>
      <c r="B52">
        <f>H44</f>
        <v>545174.76</v>
      </c>
    </row>
    <row r="53" spans="1:10" x14ac:dyDescent="0.25">
      <c r="A53" s="1" t="s">
        <v>43</v>
      </c>
      <c r="B53">
        <f>B51+B52</f>
        <v>-255893.47999999998</v>
      </c>
    </row>
    <row r="54" spans="1:10" x14ac:dyDescent="0.25">
      <c r="A54" s="1" t="s">
        <v>44</v>
      </c>
      <c r="B54" s="4">
        <f>B53/B7%</f>
        <v>129.86550280392802</v>
      </c>
    </row>
    <row r="55" spans="1:10" x14ac:dyDescent="0.25">
      <c r="A55" s="1" t="s">
        <v>45</v>
      </c>
      <c r="B55" s="4">
        <f>B53/B15%</f>
        <v>38.501902311760354</v>
      </c>
    </row>
    <row r="56" spans="1:10" x14ac:dyDescent="0.25">
      <c r="B56" s="19"/>
    </row>
    <row r="57" spans="1:10" x14ac:dyDescent="0.25">
      <c r="A57" s="1" t="s">
        <v>46</v>
      </c>
      <c r="B57" s="19"/>
    </row>
    <row r="58" spans="1:10" x14ac:dyDescent="0.25">
      <c r="B58" s="19"/>
    </row>
    <row r="59" spans="1:10" ht="30" x14ac:dyDescent="0.25">
      <c r="A59" s="1" t="s">
        <v>141</v>
      </c>
      <c r="B59" s="19">
        <v>15.88</v>
      </c>
    </row>
    <row r="60" spans="1:10" ht="30" x14ac:dyDescent="0.25">
      <c r="A60" s="1" t="s">
        <v>142</v>
      </c>
      <c r="B60" s="19">
        <v>18.32</v>
      </c>
    </row>
    <row r="61" spans="1:10" ht="30" x14ac:dyDescent="0.25">
      <c r="A61" s="1" t="s">
        <v>143</v>
      </c>
      <c r="B61" s="19">
        <v>18.32</v>
      </c>
    </row>
    <row r="62" spans="1:10" x14ac:dyDescent="0.25">
      <c r="A62" s="1" t="s">
        <v>47</v>
      </c>
      <c r="B62" s="4">
        <f>B59*(4/12)+ B60*(3/12)+B61*(5/12)</f>
        <v>17.506666666666668</v>
      </c>
    </row>
    <row r="63" spans="1:10" x14ac:dyDescent="0.25">
      <c r="A63" s="1" t="s">
        <v>69</v>
      </c>
      <c r="B63" s="4">
        <f>-E44/B61</f>
        <v>-29758.447598253275</v>
      </c>
    </row>
    <row r="64" spans="1:10" x14ac:dyDescent="0.25">
      <c r="A64" s="1" t="s">
        <v>70</v>
      </c>
      <c r="B64">
        <f>B44/B62</f>
        <v>17595.342155369381</v>
      </c>
    </row>
    <row r="65" spans="1:10" x14ac:dyDescent="0.25">
      <c r="A65" s="89"/>
      <c r="B65" s="81" t="s">
        <v>134</v>
      </c>
      <c r="C65" s="81"/>
      <c r="D65" s="81"/>
      <c r="E65" s="81" t="s">
        <v>3</v>
      </c>
      <c r="F65" s="87"/>
      <c r="G65" s="81" t="s">
        <v>4</v>
      </c>
      <c r="I65" s="4"/>
      <c r="J65"/>
    </row>
    <row r="66" spans="1:10" x14ac:dyDescent="0.25">
      <c r="A66" s="81" t="s">
        <v>105</v>
      </c>
      <c r="B66" s="81">
        <f>B6</f>
        <v>-347563.24</v>
      </c>
      <c r="C66" s="81"/>
      <c r="D66" s="81"/>
      <c r="E66" s="81">
        <f>E6</f>
        <v>-347563.24</v>
      </c>
      <c r="F66" s="87"/>
      <c r="G66" s="81">
        <f>H6</f>
        <v>-347563.24</v>
      </c>
      <c r="I66" s="4"/>
      <c r="J66"/>
    </row>
    <row r="67" spans="1:10" x14ac:dyDescent="0.25">
      <c r="A67" s="81" t="s">
        <v>106</v>
      </c>
      <c r="B67" s="81">
        <f>E7</f>
        <v>-272068</v>
      </c>
      <c r="C67" s="81"/>
      <c r="D67" s="81"/>
      <c r="E67" s="81">
        <f>E7</f>
        <v>-272068</v>
      </c>
      <c r="F67" s="87"/>
      <c r="G67" s="81">
        <f>H7</f>
        <v>-272068</v>
      </c>
      <c r="I67" s="4"/>
      <c r="J67"/>
    </row>
    <row r="68" spans="1:10" x14ac:dyDescent="0.25">
      <c r="A68" s="81"/>
      <c r="B68" s="81"/>
      <c r="C68" s="81"/>
      <c r="D68" s="81"/>
      <c r="E68" s="81"/>
      <c r="F68" s="87"/>
      <c r="G68" s="81"/>
      <c r="I68" s="4"/>
      <c r="J68"/>
    </row>
    <row r="69" spans="1:10" x14ac:dyDescent="0.25">
      <c r="A69" s="82" t="s">
        <v>107</v>
      </c>
      <c r="B69" s="81"/>
      <c r="C69" s="81"/>
      <c r="D69" s="81"/>
      <c r="E69" s="81"/>
      <c r="F69" s="87"/>
      <c r="G69" s="81"/>
      <c r="I69" s="4"/>
      <c r="J69"/>
    </row>
    <row r="70" spans="1:10" x14ac:dyDescent="0.25">
      <c r="A70" s="81" t="s">
        <v>108</v>
      </c>
      <c r="B70" s="81">
        <f>B7</f>
        <v>-197045</v>
      </c>
      <c r="C70" s="81"/>
      <c r="D70" s="81"/>
      <c r="E70" s="81">
        <f>E7</f>
        <v>-272068</v>
      </c>
      <c r="F70" s="87"/>
      <c r="G70" s="81">
        <f>H7</f>
        <v>-272068</v>
      </c>
      <c r="I70" s="4"/>
      <c r="J70"/>
    </row>
    <row r="71" spans="1:10" x14ac:dyDescent="0.25">
      <c r="A71" s="81" t="s">
        <v>109</v>
      </c>
      <c r="B71" s="81">
        <f>B11+B12</f>
        <v>-24965.31</v>
      </c>
      <c r="C71" s="81"/>
      <c r="D71" s="81"/>
      <c r="E71" s="81">
        <f>E11+E12</f>
        <v>-73697</v>
      </c>
      <c r="F71" s="87"/>
      <c r="G71" s="81">
        <f>H11+H12</f>
        <v>-73697</v>
      </c>
      <c r="I71" s="4"/>
      <c r="J71"/>
    </row>
    <row r="72" spans="1:10" x14ac:dyDescent="0.25">
      <c r="A72" s="81" t="s">
        <v>110</v>
      </c>
      <c r="B72" s="81">
        <f>B10</f>
        <v>0</v>
      </c>
      <c r="C72" s="81"/>
      <c r="D72" s="81"/>
      <c r="E72" s="81">
        <f>E10</f>
        <v>0</v>
      </c>
      <c r="F72" s="87"/>
      <c r="G72" s="81">
        <f>H10</f>
        <v>0</v>
      </c>
      <c r="I72" s="4"/>
      <c r="J72"/>
    </row>
    <row r="73" spans="1:10" x14ac:dyDescent="0.25">
      <c r="A73" s="81" t="s">
        <v>111</v>
      </c>
      <c r="B73" s="81"/>
      <c r="C73" s="81"/>
      <c r="D73" s="81"/>
      <c r="E73" s="81"/>
      <c r="F73" s="87"/>
      <c r="G73" s="81"/>
      <c r="I73" s="4"/>
      <c r="J73"/>
    </row>
    <row r="74" spans="1:10" x14ac:dyDescent="0.25">
      <c r="A74" s="81" t="s">
        <v>112</v>
      </c>
      <c r="B74" s="81">
        <f>B9</f>
        <v>0</v>
      </c>
      <c r="C74" s="81"/>
      <c r="D74" s="81"/>
      <c r="E74" s="81">
        <f>E9</f>
        <v>0</v>
      </c>
      <c r="F74" s="87"/>
      <c r="G74" s="81">
        <f>H9</f>
        <v>0</v>
      </c>
      <c r="I74" s="4"/>
      <c r="J74"/>
    </row>
    <row r="75" spans="1:10" x14ac:dyDescent="0.25">
      <c r="A75" s="81" t="s">
        <v>113</v>
      </c>
      <c r="B75" s="81">
        <f>B8</f>
        <v>-95052</v>
      </c>
      <c r="C75" s="81"/>
      <c r="D75" s="81"/>
      <c r="E75" s="81">
        <f>E8</f>
        <v>-107740</v>
      </c>
      <c r="F75" s="87"/>
      <c r="G75" s="81">
        <f>H8</f>
        <v>-107740</v>
      </c>
      <c r="I75" s="4"/>
      <c r="J75"/>
    </row>
    <row r="76" spans="1:10" ht="15.75" thickBot="1" x14ac:dyDescent="0.3">
      <c r="A76" s="83" t="s">
        <v>114</v>
      </c>
      <c r="B76" s="84">
        <f>SUM(B70:B75)</f>
        <v>-317062.31</v>
      </c>
      <c r="C76" s="81"/>
      <c r="D76" s="81"/>
      <c r="E76" s="84">
        <f>SUM(E70:E75)</f>
        <v>-453505</v>
      </c>
      <c r="F76" s="87"/>
      <c r="G76" s="84">
        <f>SUM(G70:G75)</f>
        <v>-453505</v>
      </c>
      <c r="I76" s="4"/>
      <c r="J76"/>
    </row>
    <row r="77" spans="1:10" ht="15.75" thickTop="1" x14ac:dyDescent="0.25">
      <c r="A77" s="81"/>
      <c r="B77" s="81"/>
      <c r="C77" s="81"/>
      <c r="D77" s="81"/>
      <c r="E77" s="81"/>
      <c r="F77" s="87"/>
      <c r="G77" s="81"/>
      <c r="I77" s="4"/>
      <c r="J77"/>
    </row>
    <row r="78" spans="1:10" x14ac:dyDescent="0.25">
      <c r="A78" s="82" t="s">
        <v>115</v>
      </c>
      <c r="B78" s="81"/>
      <c r="C78" s="81"/>
      <c r="D78" s="81"/>
      <c r="E78" s="81"/>
      <c r="F78" s="87"/>
      <c r="G78" s="81"/>
      <c r="I78" s="4"/>
      <c r="J78"/>
    </row>
    <row r="79" spans="1:10" x14ac:dyDescent="0.25">
      <c r="A79" s="81" t="s">
        <v>116</v>
      </c>
      <c r="B79" s="81">
        <f>B20+B21</f>
        <v>41887.51</v>
      </c>
      <c r="C79" s="81"/>
      <c r="D79" s="81"/>
      <c r="E79" s="90">
        <f>E20+E21</f>
        <v>83235</v>
      </c>
      <c r="F79" s="87"/>
      <c r="G79" s="81">
        <f>H20+H21</f>
        <v>83235</v>
      </c>
      <c r="I79" s="4"/>
      <c r="J79"/>
    </row>
    <row r="80" spans="1:10" x14ac:dyDescent="0.25">
      <c r="A80" s="81" t="s">
        <v>117</v>
      </c>
      <c r="B80" s="81">
        <f>B22</f>
        <v>242</v>
      </c>
      <c r="C80" s="81"/>
      <c r="D80" s="81"/>
      <c r="E80" s="81">
        <f>E22</f>
        <v>1941</v>
      </c>
      <c r="F80" s="87"/>
      <c r="G80" s="81">
        <f>H22</f>
        <v>1941</v>
      </c>
      <c r="I80" s="4"/>
      <c r="J80"/>
    </row>
    <row r="81" spans="1:10" x14ac:dyDescent="0.25">
      <c r="A81" s="81" t="s">
        <v>118</v>
      </c>
      <c r="B81" s="81">
        <f>B28</f>
        <v>0</v>
      </c>
      <c r="C81" s="81"/>
      <c r="D81" s="81"/>
      <c r="E81" s="81">
        <f>E28</f>
        <v>20000</v>
      </c>
      <c r="F81" s="87"/>
      <c r="G81" s="81">
        <f>H28</f>
        <v>20000</v>
      </c>
      <c r="I81" s="4"/>
      <c r="J81"/>
    </row>
    <row r="82" spans="1:10" x14ac:dyDescent="0.25">
      <c r="A82" s="81" t="s">
        <v>119</v>
      </c>
      <c r="B82" s="81">
        <f>B26</f>
        <v>0</v>
      </c>
      <c r="C82" s="81"/>
      <c r="D82" s="81"/>
      <c r="E82" s="81">
        <f>E26</f>
        <v>650</v>
      </c>
      <c r="F82" s="87"/>
      <c r="G82" s="81">
        <f>H26</f>
        <v>650</v>
      </c>
      <c r="I82" s="4"/>
      <c r="J82"/>
    </row>
    <row r="83" spans="1:10" x14ac:dyDescent="0.25">
      <c r="A83" s="81" t="s">
        <v>120</v>
      </c>
      <c r="B83" s="81">
        <f>B18</f>
        <v>2384</v>
      </c>
      <c r="C83" s="81"/>
      <c r="D83" s="81"/>
      <c r="E83" s="81">
        <f>E18</f>
        <v>6763</v>
      </c>
      <c r="F83" s="87"/>
      <c r="G83" s="81">
        <f>H18</f>
        <v>6763</v>
      </c>
      <c r="I83" s="4"/>
      <c r="J83"/>
    </row>
    <row r="84" spans="1:10" x14ac:dyDescent="0.25">
      <c r="A84" s="81" t="s">
        <v>121</v>
      </c>
      <c r="B84" s="90">
        <f>B40+B42</f>
        <v>203383.5</v>
      </c>
      <c r="C84" s="81"/>
      <c r="D84" s="81"/>
      <c r="E84" s="90">
        <f>E40+E42</f>
        <v>305499.15000000002</v>
      </c>
      <c r="F84" s="87"/>
      <c r="G84" s="81">
        <f>H40+H42</f>
        <v>305499.15000000002</v>
      </c>
      <c r="I84" s="4"/>
      <c r="J84"/>
    </row>
    <row r="85" spans="1:10" x14ac:dyDescent="0.25">
      <c r="A85" s="81" t="s">
        <v>122</v>
      </c>
      <c r="B85" s="81">
        <f>B41</f>
        <v>59278.79</v>
      </c>
      <c r="C85" s="81"/>
      <c r="D85" s="81"/>
      <c r="E85" s="81">
        <f>E41</f>
        <v>104503.85</v>
      </c>
      <c r="F85" s="87"/>
      <c r="G85" s="81">
        <f>H41</f>
        <v>104503.85</v>
      </c>
      <c r="I85" s="4"/>
      <c r="J85"/>
    </row>
    <row r="86" spans="1:10" x14ac:dyDescent="0.25">
      <c r="A86" s="81" t="s">
        <v>123</v>
      </c>
      <c r="B86" s="81">
        <f>B37+B38</f>
        <v>0</v>
      </c>
      <c r="C86" s="81"/>
      <c r="D86" s="81"/>
      <c r="E86" s="81">
        <f>E37+E38</f>
        <v>0</v>
      </c>
      <c r="F86" s="87"/>
      <c r="G86" s="81">
        <f>H37+H38</f>
        <v>0</v>
      </c>
      <c r="I86" s="4"/>
      <c r="J86"/>
    </row>
    <row r="87" spans="1:10" x14ac:dyDescent="0.25">
      <c r="A87" s="81" t="s">
        <v>124</v>
      </c>
      <c r="B87" s="81">
        <f>B17+B24</f>
        <v>0</v>
      </c>
      <c r="C87" s="81"/>
      <c r="D87" s="81"/>
      <c r="E87" s="81">
        <f>E17+E24</f>
        <v>14197</v>
      </c>
      <c r="F87" s="87"/>
      <c r="G87" s="90">
        <f>H17+H24</f>
        <v>14197</v>
      </c>
      <c r="I87" s="4"/>
      <c r="J87"/>
    </row>
    <row r="88" spans="1:10" x14ac:dyDescent="0.25">
      <c r="A88" s="81" t="s">
        <v>131</v>
      </c>
      <c r="B88" s="81">
        <f>B30+B31+B32+B33+B34+B35 +B25+B27</f>
        <v>859.99</v>
      </c>
      <c r="C88" s="81"/>
      <c r="D88" s="81"/>
      <c r="E88" s="90">
        <f>E25+E27+E30</f>
        <v>8385.76</v>
      </c>
      <c r="F88" s="87"/>
      <c r="G88" s="107">
        <f>H25+H27+H30+H34+H35</f>
        <v>8385.76</v>
      </c>
      <c r="I88" s="4"/>
      <c r="J88"/>
    </row>
    <row r="89" spans="1:10" ht="15.75" thickBot="1" x14ac:dyDescent="0.3">
      <c r="A89" s="83" t="s">
        <v>125</v>
      </c>
      <c r="B89" s="85">
        <f>SUM(B79:B88)</f>
        <v>308035.78999999998</v>
      </c>
      <c r="C89" s="81"/>
      <c r="D89" s="81"/>
      <c r="E89" s="85">
        <f>SUM(E78:E88)</f>
        <v>545174.76</v>
      </c>
      <c r="F89" s="87"/>
      <c r="G89" s="84">
        <f>SUM(G79:G88)</f>
        <v>545174.76</v>
      </c>
      <c r="I89" s="4"/>
      <c r="J89"/>
    </row>
    <row r="90" spans="1:10" ht="15.75" thickTop="1" x14ac:dyDescent="0.25">
      <c r="A90" s="81"/>
      <c r="B90" s="81"/>
      <c r="C90" s="81"/>
      <c r="D90" s="81"/>
      <c r="E90" s="81"/>
      <c r="F90" s="87"/>
      <c r="G90" s="81"/>
      <c r="I90" s="4"/>
      <c r="J90"/>
    </row>
    <row r="91" spans="1:10" ht="15.75" thickBot="1" x14ac:dyDescent="0.3">
      <c r="A91" s="81" t="s">
        <v>126</v>
      </c>
      <c r="B91" s="85">
        <f>B89+B76</f>
        <v>-9026.5200000000186</v>
      </c>
      <c r="C91" s="81"/>
      <c r="D91" s="81"/>
      <c r="E91" s="85">
        <f>E89+E76</f>
        <v>91669.760000000009</v>
      </c>
      <c r="F91" s="87"/>
      <c r="G91" s="84">
        <f>G76+G89</f>
        <v>91669.760000000009</v>
      </c>
      <c r="I91" s="4"/>
      <c r="J91"/>
    </row>
    <row r="92" spans="1:10" ht="15.75" thickTop="1" x14ac:dyDescent="0.25">
      <c r="A92" s="81"/>
      <c r="B92" s="83"/>
      <c r="C92" s="81"/>
      <c r="D92" s="81"/>
      <c r="E92" s="83"/>
      <c r="F92" s="87"/>
      <c r="G92" s="81"/>
      <c r="I92" s="4"/>
      <c r="J92"/>
    </row>
    <row r="93" spans="1:10" x14ac:dyDescent="0.25">
      <c r="A93" s="81"/>
      <c r="B93" s="81"/>
      <c r="C93" s="81"/>
      <c r="D93" s="81"/>
      <c r="E93" s="81"/>
      <c r="F93" s="87"/>
      <c r="G93" s="81"/>
      <c r="I93" s="4"/>
      <c r="J93"/>
    </row>
    <row r="94" spans="1:10" x14ac:dyDescent="0.25">
      <c r="A94" s="81" t="s">
        <v>127</v>
      </c>
      <c r="B94" s="81">
        <f>B66+B76+B89</f>
        <v>-356589.76000000007</v>
      </c>
      <c r="C94" s="81"/>
      <c r="D94" s="81"/>
      <c r="E94" s="81">
        <f>E66+E76+E89</f>
        <v>-255893.47999999998</v>
      </c>
      <c r="F94" s="87"/>
      <c r="G94" s="81">
        <f>G66+G91</f>
        <v>-255893.47999999998</v>
      </c>
      <c r="I94" s="4"/>
      <c r="J94"/>
    </row>
    <row r="95" spans="1:10" x14ac:dyDescent="0.25">
      <c r="A95" s="81" t="s">
        <v>128</v>
      </c>
      <c r="B95" s="86">
        <f>B94/B76</f>
        <v>1.124667766408439</v>
      </c>
      <c r="C95" s="81"/>
      <c r="D95" s="81"/>
      <c r="E95" s="86">
        <f>E94/E76</f>
        <v>0.56425724082424666</v>
      </c>
      <c r="F95" s="87"/>
      <c r="G95" s="108">
        <f>G94/G76</f>
        <v>0.56425724082424666</v>
      </c>
      <c r="I95" s="4"/>
      <c r="J95"/>
    </row>
    <row r="96" spans="1:10" x14ac:dyDescent="0.25">
      <c r="A96" s="81" t="s">
        <v>129</v>
      </c>
      <c r="B96" s="86">
        <f>B94/B67</f>
        <v>1.3106640986812124</v>
      </c>
      <c r="C96" s="81"/>
      <c r="D96" s="81"/>
      <c r="E96" s="86">
        <f>E94/E67</f>
        <v>0.94054971551229838</v>
      </c>
      <c r="F96" s="87"/>
      <c r="G96" s="108">
        <f>G94/G70</f>
        <v>0.94054971551229838</v>
      </c>
      <c r="I96" s="4"/>
      <c r="J96"/>
    </row>
    <row r="97" spans="1:10" x14ac:dyDescent="0.25">
      <c r="A97" s="81"/>
      <c r="B97" s="81"/>
      <c r="C97" s="81"/>
      <c r="D97" s="81"/>
      <c r="E97" s="81"/>
      <c r="F97" s="87"/>
      <c r="G97" s="81"/>
      <c r="I97" s="4"/>
      <c r="J97"/>
    </row>
    <row r="98" spans="1:10" x14ac:dyDescent="0.25">
      <c r="A98" s="81"/>
      <c r="B98" s="81"/>
      <c r="C98" s="81"/>
      <c r="D98" s="81"/>
      <c r="E98" s="81"/>
      <c r="F98" s="87"/>
      <c r="G98" s="81"/>
      <c r="I98" s="4"/>
      <c r="J98"/>
    </row>
    <row r="99" spans="1:10" x14ac:dyDescent="0.25">
      <c r="A99" s="81" t="s">
        <v>130</v>
      </c>
      <c r="B99" s="87">
        <f>B62</f>
        <v>17.506666666666668</v>
      </c>
      <c r="C99" s="81"/>
      <c r="D99" s="81"/>
      <c r="E99" s="87">
        <f>B99</f>
        <v>17.506666666666668</v>
      </c>
      <c r="F99" s="87"/>
      <c r="G99" s="87">
        <f>B62</f>
        <v>17.506666666666668</v>
      </c>
      <c r="I99" s="4"/>
      <c r="J99"/>
    </row>
    <row r="100" spans="1:10" x14ac:dyDescent="0.25">
      <c r="A100" s="81" t="s">
        <v>133</v>
      </c>
      <c r="B100" s="81">
        <f>-E7/B99</f>
        <v>15540.822543792839</v>
      </c>
      <c r="C100" s="81"/>
      <c r="D100" s="81"/>
      <c r="E100" s="81">
        <f>B100</f>
        <v>15540.822543792839</v>
      </c>
      <c r="F100" s="87"/>
      <c r="G100" s="81">
        <f>-G70/G99</f>
        <v>15540.822543792839</v>
      </c>
      <c r="I100" s="4"/>
      <c r="J100"/>
    </row>
    <row r="101" spans="1:10" x14ac:dyDescent="0.25">
      <c r="A101" s="109" t="s">
        <v>140</v>
      </c>
      <c r="B101" s="34">
        <f>B89/B99</f>
        <v>17595.342155369381</v>
      </c>
      <c r="C101" s="34"/>
      <c r="D101" s="34"/>
      <c r="E101" s="34">
        <f>E89/E99</f>
        <v>31140.980198019799</v>
      </c>
      <c r="F101" s="34"/>
      <c r="G101" s="36">
        <f>G89/G99</f>
        <v>31140.980198019799</v>
      </c>
    </row>
  </sheetData>
  <mergeCells count="18">
    <mergeCell ref="F4:F5"/>
    <mergeCell ref="C1:D1"/>
    <mergeCell ref="B4:B5"/>
    <mergeCell ref="C4:C5"/>
    <mergeCell ref="D4:D5"/>
    <mergeCell ref="E4:E5"/>
    <mergeCell ref="K31:K36"/>
    <mergeCell ref="G4:G5"/>
    <mergeCell ref="H4:H5"/>
    <mergeCell ref="I4:I5"/>
    <mergeCell ref="J4:J5"/>
    <mergeCell ref="K11:V11"/>
    <mergeCell ref="K12:V12"/>
    <mergeCell ref="K14:V14"/>
    <mergeCell ref="K17:V17"/>
    <mergeCell ref="K18:V18"/>
    <mergeCell ref="K24:V24"/>
    <mergeCell ref="K30:V30"/>
  </mergeCells>
  <conditionalFormatting sqref="D45:E45">
    <cfRule type="cellIs" dxfId="374" priority="5" operator="lessThan">
      <formula>0</formula>
    </cfRule>
    <cfRule type="cellIs" dxfId="373" priority="6" operator="greaterThan">
      <formula>0</formula>
    </cfRule>
  </conditionalFormatting>
  <conditionalFormatting sqref="H45">
    <cfRule type="cellIs" dxfId="372" priority="3" operator="lessThan">
      <formula>0</formula>
    </cfRule>
    <cfRule type="cellIs" dxfId="371" priority="4" operator="greaterThan">
      <formula>0</formula>
    </cfRule>
  </conditionalFormatting>
  <conditionalFormatting sqref="H46 D46:E46">
    <cfRule type="cellIs" dxfId="370" priority="1" operator="lessThan">
      <formula>0</formula>
    </cfRule>
    <cfRule type="cellIs" dxfId="369" priority="2" operator="greaterThan">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554E3-FB1F-4CFF-B478-91923E926393}">
  <dimension ref="A1:W101"/>
  <sheetViews>
    <sheetView topLeftCell="A10" workbookViewId="0">
      <selection activeCell="I109" sqref="I109"/>
    </sheetView>
  </sheetViews>
  <sheetFormatPr defaultRowHeight="15" x14ac:dyDescent="0.25"/>
  <cols>
    <col min="1" max="1" width="44.42578125" style="1" customWidth="1"/>
    <col min="2" max="2" width="14.140625" style="54" customWidth="1"/>
    <col min="3" max="7" width="12.28515625" customWidth="1"/>
    <col min="8" max="8" width="15.28515625" style="4" customWidth="1"/>
    <col min="9" max="10" width="12.28515625" customWidth="1"/>
    <col min="11" max="11" width="12.28515625" style="4" customWidth="1"/>
    <col min="12" max="12" width="20.85546875" customWidth="1"/>
  </cols>
  <sheetData>
    <row r="1" spans="1:23" ht="78.75" customHeight="1" x14ac:dyDescent="0.25">
      <c r="D1" s="100" t="s">
        <v>48</v>
      </c>
      <c r="E1" s="100"/>
      <c r="F1" s="19" t="s">
        <v>95</v>
      </c>
      <c r="L1" t="s">
        <v>136</v>
      </c>
    </row>
    <row r="2" spans="1:23" x14ac:dyDescent="0.25">
      <c r="A2" s="1" t="s">
        <v>49</v>
      </c>
      <c r="C2" s="19" t="s">
        <v>135</v>
      </c>
      <c r="D2" s="19">
        <v>2022</v>
      </c>
      <c r="E2" t="s">
        <v>139</v>
      </c>
    </row>
    <row r="3" spans="1:23" x14ac:dyDescent="0.25">
      <c r="A3" s="26" t="s">
        <v>85</v>
      </c>
      <c r="B3" s="55"/>
      <c r="C3" s="27"/>
      <c r="D3" s="27"/>
    </row>
    <row r="4" spans="1:23" ht="45" customHeight="1" x14ac:dyDescent="0.25">
      <c r="C4" s="101" t="s">
        <v>0</v>
      </c>
      <c r="D4" s="101" t="s">
        <v>1</v>
      </c>
      <c r="E4" s="101" t="s">
        <v>2</v>
      </c>
      <c r="F4" s="101" t="s">
        <v>3</v>
      </c>
      <c r="G4" s="101" t="s">
        <v>33</v>
      </c>
      <c r="H4" s="102" t="s">
        <v>35</v>
      </c>
      <c r="I4" s="101" t="s">
        <v>4</v>
      </c>
      <c r="J4" s="101" t="s">
        <v>5</v>
      </c>
      <c r="K4" s="102" t="s">
        <v>34</v>
      </c>
    </row>
    <row r="5" spans="1:23" x14ac:dyDescent="0.25">
      <c r="A5" s="1" t="s">
        <v>13</v>
      </c>
      <c r="C5" s="101"/>
      <c r="D5" s="101"/>
      <c r="E5" s="101"/>
      <c r="F5" s="101"/>
      <c r="G5" s="101"/>
      <c r="H5" s="102"/>
      <c r="I5" s="101"/>
      <c r="J5" s="101"/>
      <c r="K5" s="102"/>
      <c r="L5" s="20" t="s">
        <v>56</v>
      </c>
      <c r="M5" s="20"/>
      <c r="N5" s="20"/>
      <c r="O5" s="20"/>
      <c r="P5" s="20"/>
      <c r="Q5" s="20"/>
      <c r="R5" s="20"/>
      <c r="S5" s="20"/>
      <c r="T5" s="20"/>
      <c r="U5" s="20"/>
      <c r="V5" s="20"/>
      <c r="W5" s="20"/>
    </row>
    <row r="6" spans="1:23" x14ac:dyDescent="0.25">
      <c r="A6" s="1" t="s">
        <v>38</v>
      </c>
      <c r="C6" s="14">
        <v>-174350</v>
      </c>
      <c r="D6" s="21"/>
      <c r="E6" s="30">
        <f>C6+D6</f>
        <v>-174350</v>
      </c>
      <c r="F6" s="22">
        <v>-174350</v>
      </c>
      <c r="G6" s="32">
        <f>F6-E6</f>
        <v>0</v>
      </c>
      <c r="H6" s="33">
        <f>E6/F6%</f>
        <v>100</v>
      </c>
      <c r="I6" s="23">
        <v>-174350</v>
      </c>
      <c r="J6" s="35">
        <f>F6-I6</f>
        <v>0</v>
      </c>
      <c r="K6" s="36">
        <f>I6/F6%</f>
        <v>100</v>
      </c>
      <c r="L6" s="20" t="s">
        <v>54</v>
      </c>
      <c r="M6" s="20"/>
      <c r="N6" s="20"/>
      <c r="O6" s="20"/>
      <c r="P6" s="20"/>
      <c r="Q6" s="20"/>
      <c r="R6" s="20"/>
      <c r="S6" s="20"/>
      <c r="T6" s="20"/>
      <c r="U6" s="20"/>
      <c r="V6" s="20"/>
      <c r="W6" s="20"/>
    </row>
    <row r="7" spans="1:23" x14ac:dyDescent="0.25">
      <c r="A7" s="2" t="s">
        <v>6</v>
      </c>
      <c r="B7" s="56">
        <v>520200</v>
      </c>
      <c r="C7" s="14">
        <v>-589664</v>
      </c>
      <c r="D7" s="21"/>
      <c r="E7" s="30">
        <f t="shared" ref="E7:E42" si="0">C7+D7</f>
        <v>-589664</v>
      </c>
      <c r="F7" s="22">
        <v>-590601</v>
      </c>
      <c r="G7" s="32">
        <f t="shared" ref="G7:G42" si="1">F7-E7</f>
        <v>-937</v>
      </c>
      <c r="H7" s="33">
        <f t="shared" ref="H7:H42" si="2">E7/F7%</f>
        <v>99.841348050545122</v>
      </c>
      <c r="I7" s="23">
        <v>-590601</v>
      </c>
      <c r="J7" s="35">
        <f t="shared" ref="J7:J42" si="3">F7-I7</f>
        <v>0</v>
      </c>
      <c r="K7" s="36">
        <f t="shared" ref="K7:K42" si="4">I7/F7%</f>
        <v>100</v>
      </c>
      <c r="L7" s="20" t="s">
        <v>79</v>
      </c>
      <c r="M7" s="20"/>
      <c r="N7" s="20"/>
      <c r="O7" s="20"/>
      <c r="P7" s="20"/>
      <c r="Q7" s="20"/>
      <c r="R7" s="20"/>
      <c r="S7" s="20"/>
      <c r="T7" s="20"/>
      <c r="U7" s="20"/>
      <c r="V7" s="20"/>
      <c r="W7" s="20"/>
    </row>
    <row r="8" spans="1:23" x14ac:dyDescent="0.25">
      <c r="A8" s="2" t="s">
        <v>7</v>
      </c>
      <c r="B8" s="56"/>
      <c r="C8" s="14">
        <v>0</v>
      </c>
      <c r="D8" s="21"/>
      <c r="E8" s="30">
        <f t="shared" si="0"/>
        <v>0</v>
      </c>
      <c r="F8" s="22">
        <v>0</v>
      </c>
      <c r="G8" s="32">
        <f t="shared" si="1"/>
        <v>0</v>
      </c>
      <c r="H8" s="33" t="e">
        <f t="shared" si="2"/>
        <v>#DIV/0!</v>
      </c>
      <c r="I8" s="23">
        <v>0</v>
      </c>
      <c r="J8" s="35">
        <f t="shared" si="3"/>
        <v>0</v>
      </c>
      <c r="K8" s="36" t="e">
        <f t="shared" si="4"/>
        <v>#DIV/0!</v>
      </c>
      <c r="L8" s="20" t="s">
        <v>55</v>
      </c>
      <c r="M8" s="20"/>
      <c r="N8" s="20"/>
      <c r="O8" s="20"/>
      <c r="P8" s="20"/>
      <c r="Q8" s="20"/>
      <c r="R8" s="20"/>
      <c r="S8" s="20"/>
      <c r="T8" s="20"/>
      <c r="U8" s="20"/>
      <c r="V8" s="20"/>
      <c r="W8" s="20"/>
    </row>
    <row r="9" spans="1:23" x14ac:dyDescent="0.25">
      <c r="A9" s="2" t="s">
        <v>8</v>
      </c>
      <c r="B9" s="56">
        <v>525100</v>
      </c>
      <c r="C9" s="14">
        <v>-30000</v>
      </c>
      <c r="D9" s="21"/>
      <c r="E9" s="30">
        <f t="shared" si="0"/>
        <v>-30000</v>
      </c>
      <c r="F9" s="22">
        <v>-30000</v>
      </c>
      <c r="G9" s="32">
        <f t="shared" si="1"/>
        <v>0</v>
      </c>
      <c r="H9" s="33">
        <f t="shared" si="2"/>
        <v>100</v>
      </c>
      <c r="I9" s="23">
        <v>-3000</v>
      </c>
      <c r="J9" s="35">
        <f t="shared" si="3"/>
        <v>-27000</v>
      </c>
      <c r="K9" s="36">
        <f t="shared" si="4"/>
        <v>10</v>
      </c>
      <c r="L9" s="20"/>
      <c r="M9" s="20"/>
      <c r="N9" s="20"/>
      <c r="O9" s="20"/>
      <c r="P9" s="20"/>
      <c r="Q9" s="20"/>
      <c r="R9" s="20"/>
      <c r="S9" s="20"/>
      <c r="T9" s="20"/>
      <c r="U9" s="20"/>
      <c r="V9" s="20"/>
      <c r="W9" s="20"/>
    </row>
    <row r="10" spans="1:23" x14ac:dyDescent="0.25">
      <c r="A10" s="2" t="s">
        <v>9</v>
      </c>
      <c r="B10" s="56"/>
      <c r="C10" s="14">
        <v>0</v>
      </c>
      <c r="D10" s="21"/>
      <c r="E10" s="30">
        <f t="shared" si="0"/>
        <v>0</v>
      </c>
      <c r="F10" s="22">
        <v>0</v>
      </c>
      <c r="G10" s="32">
        <f t="shared" si="1"/>
        <v>0</v>
      </c>
      <c r="H10" s="33" t="e">
        <f t="shared" si="2"/>
        <v>#DIV/0!</v>
      </c>
      <c r="I10" s="23">
        <v>0</v>
      </c>
      <c r="J10" s="35">
        <f t="shared" si="3"/>
        <v>0</v>
      </c>
      <c r="K10" s="36" t="e">
        <f t="shared" si="4"/>
        <v>#DIV/0!</v>
      </c>
      <c r="L10" s="20" t="s">
        <v>65</v>
      </c>
      <c r="M10" s="20"/>
      <c r="N10" s="20"/>
      <c r="O10" s="20"/>
      <c r="P10" s="20"/>
      <c r="Q10" s="20"/>
      <c r="R10" s="20"/>
      <c r="S10" s="20"/>
      <c r="T10" s="20"/>
      <c r="U10" s="20"/>
      <c r="V10" s="20"/>
      <c r="W10" s="20"/>
    </row>
    <row r="11" spans="1:23" ht="30" x14ac:dyDescent="0.25">
      <c r="A11" s="2" t="s">
        <v>10</v>
      </c>
      <c r="B11" s="56">
        <v>525100</v>
      </c>
      <c r="C11" s="14">
        <v>-238876</v>
      </c>
      <c r="D11" s="21"/>
      <c r="E11" s="30">
        <f t="shared" si="0"/>
        <v>-238876</v>
      </c>
      <c r="F11" s="22">
        <v>-180000</v>
      </c>
      <c r="G11" s="32">
        <f t="shared" si="1"/>
        <v>58876</v>
      </c>
      <c r="H11" s="33">
        <f t="shared" si="2"/>
        <v>132.70888888888888</v>
      </c>
      <c r="I11" s="23">
        <v>-213192.3</v>
      </c>
      <c r="J11" s="35">
        <f t="shared" si="3"/>
        <v>33192.299999999988</v>
      </c>
      <c r="K11" s="36">
        <f t="shared" si="4"/>
        <v>118.44016666666666</v>
      </c>
      <c r="L11" s="103" t="s">
        <v>80</v>
      </c>
      <c r="M11" s="103"/>
      <c r="N11" s="103"/>
      <c r="O11" s="103"/>
      <c r="P11" s="103"/>
      <c r="Q11" s="103"/>
      <c r="R11" s="103"/>
      <c r="S11" s="103"/>
      <c r="T11" s="103"/>
      <c r="U11" s="103"/>
      <c r="V11" s="103"/>
      <c r="W11" s="103"/>
    </row>
    <row r="12" spans="1:23" ht="30" x14ac:dyDescent="0.25">
      <c r="A12" s="2" t="s">
        <v>11</v>
      </c>
      <c r="B12" s="56"/>
      <c r="C12" s="14">
        <v>0</v>
      </c>
      <c r="D12" s="21"/>
      <c r="E12" s="30">
        <f t="shared" si="0"/>
        <v>0</v>
      </c>
      <c r="F12" s="22">
        <v>0</v>
      </c>
      <c r="G12" s="32">
        <f t="shared" si="1"/>
        <v>0</v>
      </c>
      <c r="H12" s="33" t="e">
        <f t="shared" si="2"/>
        <v>#DIV/0!</v>
      </c>
      <c r="I12" s="23">
        <v>-14224.57</v>
      </c>
      <c r="J12" s="35">
        <f t="shared" si="3"/>
        <v>14224.57</v>
      </c>
      <c r="K12" s="36" t="e">
        <f t="shared" si="4"/>
        <v>#DIV/0!</v>
      </c>
      <c r="L12" s="103" t="s">
        <v>81</v>
      </c>
      <c r="M12" s="103"/>
      <c r="N12" s="103"/>
      <c r="O12" s="103"/>
      <c r="P12" s="103"/>
      <c r="Q12" s="103"/>
      <c r="R12" s="103"/>
      <c r="S12" s="103"/>
      <c r="T12" s="103"/>
      <c r="U12" s="103"/>
      <c r="V12" s="103"/>
      <c r="W12" s="103"/>
    </row>
    <row r="13" spans="1:23" x14ac:dyDescent="0.25">
      <c r="A13" s="2"/>
      <c r="B13" s="56"/>
      <c r="C13" s="91"/>
      <c r="D13" s="91"/>
      <c r="E13" s="62"/>
      <c r="F13" s="91"/>
      <c r="G13" s="62"/>
      <c r="H13" s="92"/>
      <c r="I13" s="91"/>
      <c r="J13" s="62"/>
      <c r="K13" s="92"/>
      <c r="L13" s="20"/>
      <c r="M13" s="20"/>
      <c r="N13" s="20"/>
      <c r="O13" s="20"/>
      <c r="P13" s="20"/>
      <c r="Q13" s="20"/>
      <c r="R13" s="20"/>
      <c r="S13" s="20"/>
      <c r="T13" s="20"/>
      <c r="U13" s="20"/>
      <c r="V13" s="20"/>
      <c r="W13" s="20"/>
    </row>
    <row r="14" spans="1:23" x14ac:dyDescent="0.25">
      <c r="A14" s="12" t="s">
        <v>53</v>
      </c>
      <c r="B14" s="57"/>
      <c r="C14" s="9"/>
      <c r="D14" s="9"/>
      <c r="E14" s="15">
        <f>SUM(E7:E13)</f>
        <v>-858540</v>
      </c>
      <c r="F14" s="15">
        <f>SUM(F7:F13)</f>
        <v>-800601</v>
      </c>
      <c r="G14" s="15">
        <f t="shared" ref="G14:J14" si="5">SUM(G7:G13)</f>
        <v>57939</v>
      </c>
      <c r="H14" s="15"/>
      <c r="I14" s="15">
        <f t="shared" si="5"/>
        <v>-821017.87</v>
      </c>
      <c r="J14" s="15">
        <f t="shared" si="5"/>
        <v>20416.869999999988</v>
      </c>
      <c r="K14" s="38">
        <f t="shared" si="4"/>
        <v>102.55019291757067</v>
      </c>
      <c r="L14" s="104" t="s">
        <v>57</v>
      </c>
      <c r="M14" s="104"/>
      <c r="N14" s="104"/>
      <c r="O14" s="104"/>
      <c r="P14" s="104"/>
      <c r="Q14" s="104"/>
      <c r="R14" s="104"/>
      <c r="S14" s="104"/>
      <c r="T14" s="104"/>
      <c r="U14" s="104"/>
      <c r="V14" s="104"/>
      <c r="W14" s="104"/>
    </row>
    <row r="15" spans="1:23" x14ac:dyDescent="0.25">
      <c r="A15" s="13" t="s">
        <v>58</v>
      </c>
      <c r="B15" s="58"/>
      <c r="C15" s="9">
        <f>SUM(C6:C13)</f>
        <v>-1032890</v>
      </c>
      <c r="D15" s="9">
        <f>SUM(D6:D13)</f>
        <v>0</v>
      </c>
      <c r="E15" s="9">
        <f t="shared" si="0"/>
        <v>-1032890</v>
      </c>
      <c r="F15" s="15">
        <f>SUM(F6:F13)</f>
        <v>-974951</v>
      </c>
      <c r="G15" s="9">
        <f t="shared" si="1"/>
        <v>57939</v>
      </c>
      <c r="H15" s="9"/>
      <c r="I15" s="9">
        <f>I14+I6</f>
        <v>-995367.87</v>
      </c>
      <c r="J15" s="9">
        <f t="shared" si="3"/>
        <v>20416.869999999995</v>
      </c>
      <c r="K15" s="38">
        <f t="shared" si="4"/>
        <v>102.09414319283738</v>
      </c>
      <c r="L15" s="20" t="s">
        <v>59</v>
      </c>
      <c r="M15" s="20"/>
      <c r="N15" s="20"/>
      <c r="O15" s="20"/>
      <c r="P15" s="20"/>
      <c r="Q15" s="20"/>
      <c r="R15" s="20"/>
      <c r="S15" s="20"/>
      <c r="T15" s="20"/>
      <c r="U15" s="20"/>
      <c r="V15" s="20"/>
      <c r="W15" s="20"/>
    </row>
    <row r="16" spans="1:23" x14ac:dyDescent="0.25">
      <c r="A16" s="5"/>
      <c r="B16" s="59"/>
      <c r="C16" s="7"/>
      <c r="D16" s="7"/>
      <c r="E16" s="7"/>
      <c r="F16" s="16"/>
      <c r="G16" s="7"/>
      <c r="H16" s="37"/>
      <c r="I16" s="16"/>
      <c r="J16" s="7"/>
      <c r="K16" s="37"/>
      <c r="L16" s="20"/>
      <c r="M16" s="20"/>
      <c r="N16" s="20"/>
      <c r="O16" s="20"/>
      <c r="P16" s="20"/>
      <c r="Q16" s="20"/>
      <c r="R16" s="20"/>
      <c r="S16" s="20"/>
      <c r="T16" s="20"/>
      <c r="U16" s="20"/>
      <c r="V16" s="20"/>
      <c r="W16" s="20"/>
    </row>
    <row r="17" spans="1:23" x14ac:dyDescent="0.25">
      <c r="A17" s="2" t="s">
        <v>72</v>
      </c>
      <c r="B17" s="56" t="s">
        <v>88</v>
      </c>
      <c r="C17" s="14"/>
      <c r="D17" s="21"/>
      <c r="E17" s="30">
        <f t="shared" si="0"/>
        <v>0</v>
      </c>
      <c r="F17" s="22">
        <f>27612.4+2590.04+6516.53</f>
        <v>36718.97</v>
      </c>
      <c r="G17" s="32">
        <f t="shared" si="1"/>
        <v>36718.97</v>
      </c>
      <c r="H17" s="33">
        <f t="shared" si="2"/>
        <v>0</v>
      </c>
      <c r="I17" s="23">
        <v>36718.97</v>
      </c>
      <c r="J17" s="35">
        <f t="shared" si="3"/>
        <v>0</v>
      </c>
      <c r="K17" s="36">
        <f t="shared" si="4"/>
        <v>100</v>
      </c>
      <c r="L17" s="104" t="s">
        <v>60</v>
      </c>
      <c r="M17" s="104"/>
      <c r="N17" s="104"/>
      <c r="O17" s="104"/>
      <c r="P17" s="104"/>
      <c r="Q17" s="104"/>
      <c r="R17" s="104"/>
      <c r="S17" s="104"/>
      <c r="T17" s="104"/>
      <c r="U17" s="104"/>
      <c r="V17" s="104"/>
      <c r="W17" s="104"/>
    </row>
    <row r="18" spans="1:23" x14ac:dyDescent="0.25">
      <c r="A18" s="2" t="s">
        <v>73</v>
      </c>
      <c r="B18" s="56">
        <v>835100</v>
      </c>
      <c r="C18" s="14"/>
      <c r="D18" s="21"/>
      <c r="E18" s="30">
        <f t="shared" si="0"/>
        <v>0</v>
      </c>
      <c r="F18" s="22">
        <v>8000</v>
      </c>
      <c r="G18" s="32">
        <f t="shared" si="1"/>
        <v>8000</v>
      </c>
      <c r="H18" s="33">
        <f t="shared" si="2"/>
        <v>0</v>
      </c>
      <c r="I18" s="23">
        <v>8000</v>
      </c>
      <c r="J18" s="35">
        <f t="shared" si="3"/>
        <v>0</v>
      </c>
      <c r="K18" s="36">
        <f t="shared" si="4"/>
        <v>100</v>
      </c>
      <c r="L18" s="104" t="s">
        <v>50</v>
      </c>
      <c r="M18" s="104"/>
      <c r="N18" s="104"/>
      <c r="O18" s="104"/>
      <c r="P18" s="104"/>
      <c r="Q18" s="104"/>
      <c r="R18" s="104"/>
      <c r="S18" s="104"/>
      <c r="T18" s="104"/>
      <c r="U18" s="104"/>
      <c r="V18" s="104"/>
      <c r="W18" s="104"/>
    </row>
    <row r="19" spans="1:23" x14ac:dyDescent="0.25">
      <c r="A19" s="5" t="s">
        <v>14</v>
      </c>
      <c r="B19" s="59"/>
      <c r="C19" s="7"/>
      <c r="D19" s="7"/>
      <c r="E19" s="7"/>
      <c r="F19" s="16"/>
      <c r="G19" s="7"/>
      <c r="H19" s="37"/>
      <c r="I19" s="16"/>
      <c r="J19" s="7"/>
      <c r="K19" s="37"/>
      <c r="L19" s="20"/>
      <c r="M19" s="20"/>
      <c r="N19" s="20"/>
      <c r="O19" s="20"/>
      <c r="P19" s="20"/>
      <c r="Q19" s="20"/>
      <c r="R19" s="20"/>
      <c r="S19" s="20"/>
      <c r="T19" s="20"/>
      <c r="U19" s="20"/>
      <c r="V19" s="20"/>
      <c r="W19" s="20"/>
    </row>
    <row r="20" spans="1:23" x14ac:dyDescent="0.25">
      <c r="A20" s="2" t="s">
        <v>15</v>
      </c>
      <c r="B20" s="56" t="s">
        <v>89</v>
      </c>
      <c r="C20" s="14">
        <f>343173+23033</f>
        <v>366206</v>
      </c>
      <c r="D20" s="21"/>
      <c r="E20" s="30">
        <f t="shared" si="0"/>
        <v>366206</v>
      </c>
      <c r="F20" s="22">
        <f>318971.99+31813.45+75277.4+20000</f>
        <v>446062.83999999997</v>
      </c>
      <c r="G20" s="32">
        <f t="shared" si="1"/>
        <v>79856.839999999967</v>
      </c>
      <c r="H20" s="33">
        <f t="shared" si="2"/>
        <v>82.097401343720989</v>
      </c>
      <c r="I20" s="23">
        <v>446062.84</v>
      </c>
      <c r="J20" s="35">
        <f t="shared" si="3"/>
        <v>0</v>
      </c>
      <c r="K20" s="36">
        <f t="shared" si="4"/>
        <v>100.00000000000001</v>
      </c>
      <c r="L20" s="20" t="s">
        <v>61</v>
      </c>
      <c r="M20" s="20"/>
      <c r="N20" s="20"/>
      <c r="O20" s="20"/>
      <c r="P20" s="20"/>
      <c r="Q20" s="20"/>
      <c r="R20" s="20"/>
      <c r="S20" s="20"/>
      <c r="T20" s="20"/>
      <c r="U20" s="20"/>
      <c r="V20" s="20"/>
      <c r="W20" s="20"/>
    </row>
    <row r="21" spans="1:23" x14ac:dyDescent="0.25">
      <c r="A21" s="2" t="s">
        <v>16</v>
      </c>
      <c r="B21" s="56" t="s">
        <v>90</v>
      </c>
      <c r="C21" s="14">
        <v>16157</v>
      </c>
      <c r="D21" s="21"/>
      <c r="E21" s="30">
        <f t="shared" si="0"/>
        <v>16157</v>
      </c>
      <c r="F21" s="22">
        <f>44290.95</f>
        <v>44290.95</v>
      </c>
      <c r="G21" s="32">
        <f t="shared" si="1"/>
        <v>28133.949999999997</v>
      </c>
      <c r="H21" s="33">
        <f t="shared" si="2"/>
        <v>36.479235600049222</v>
      </c>
      <c r="I21" s="23">
        <v>23528</v>
      </c>
      <c r="J21" s="35">
        <f t="shared" si="3"/>
        <v>20762.949999999997</v>
      </c>
      <c r="K21" s="36">
        <f t="shared" si="4"/>
        <v>53.121461607845397</v>
      </c>
      <c r="L21" s="20" t="s">
        <v>61</v>
      </c>
      <c r="M21" s="20"/>
      <c r="N21" s="20"/>
      <c r="O21" s="20"/>
      <c r="P21" s="20"/>
      <c r="Q21" s="20"/>
      <c r="R21" s="20"/>
      <c r="S21" s="20"/>
      <c r="T21" s="20"/>
      <c r="U21" s="20"/>
      <c r="V21" s="20"/>
      <c r="W21" s="20"/>
    </row>
    <row r="22" spans="1:23" x14ac:dyDescent="0.25">
      <c r="A22" s="2" t="s">
        <v>17</v>
      </c>
      <c r="B22" s="56">
        <v>675400</v>
      </c>
      <c r="C22" s="14">
        <v>1937</v>
      </c>
      <c r="D22" s="21"/>
      <c r="E22" s="30">
        <f t="shared" si="0"/>
        <v>1937</v>
      </c>
      <c r="F22" s="22">
        <v>1000</v>
      </c>
      <c r="G22" s="32">
        <f t="shared" si="1"/>
        <v>-937</v>
      </c>
      <c r="H22" s="33">
        <f t="shared" si="2"/>
        <v>193.7</v>
      </c>
      <c r="I22" s="23">
        <v>1500</v>
      </c>
      <c r="J22" s="35">
        <f t="shared" si="3"/>
        <v>-500</v>
      </c>
      <c r="K22" s="36">
        <f t="shared" si="4"/>
        <v>150</v>
      </c>
      <c r="L22" s="20"/>
      <c r="M22" s="20"/>
      <c r="N22" s="20"/>
      <c r="O22" s="20"/>
      <c r="P22" s="20"/>
      <c r="Q22" s="20"/>
      <c r="R22" s="20"/>
      <c r="S22" s="20"/>
      <c r="T22" s="20"/>
      <c r="U22" s="20"/>
      <c r="V22" s="20"/>
      <c r="W22" s="20"/>
    </row>
    <row r="23" spans="1:23" x14ac:dyDescent="0.25">
      <c r="A23" s="5" t="s">
        <v>82</v>
      </c>
      <c r="B23" s="59"/>
      <c r="C23" s="7"/>
      <c r="D23" s="7"/>
      <c r="E23" s="7"/>
      <c r="F23" s="16"/>
      <c r="G23" s="7"/>
      <c r="H23" s="37"/>
      <c r="I23" s="93"/>
      <c r="J23" s="7"/>
      <c r="K23" s="37"/>
      <c r="L23" s="20"/>
      <c r="M23" s="20"/>
      <c r="N23" s="20"/>
      <c r="O23" s="20"/>
      <c r="P23" s="20"/>
      <c r="Q23" s="20"/>
      <c r="R23" s="20"/>
      <c r="S23" s="20"/>
      <c r="T23" s="20"/>
      <c r="U23" s="20"/>
      <c r="V23" s="20"/>
      <c r="W23" s="20"/>
    </row>
    <row r="24" spans="1:23" ht="30" x14ac:dyDescent="0.25">
      <c r="A24" s="2" t="s">
        <v>39</v>
      </c>
      <c r="B24" s="56"/>
      <c r="C24" s="14"/>
      <c r="D24" s="21"/>
      <c r="E24" s="30">
        <f t="shared" si="0"/>
        <v>0</v>
      </c>
      <c r="F24" s="22">
        <v>25000</v>
      </c>
      <c r="G24" s="32">
        <f t="shared" si="1"/>
        <v>25000</v>
      </c>
      <c r="H24" s="33">
        <f t="shared" si="2"/>
        <v>0</v>
      </c>
      <c r="I24" s="94">
        <v>40000</v>
      </c>
      <c r="J24" s="35">
        <f t="shared" si="3"/>
        <v>-15000</v>
      </c>
      <c r="K24" s="36">
        <f t="shared" si="4"/>
        <v>160</v>
      </c>
      <c r="L24" s="103" t="s">
        <v>84</v>
      </c>
      <c r="M24" s="103"/>
      <c r="N24" s="103"/>
      <c r="O24" s="103"/>
      <c r="P24" s="103"/>
      <c r="Q24" s="103"/>
      <c r="R24" s="103"/>
      <c r="S24" s="103"/>
      <c r="T24" s="103"/>
      <c r="U24" s="103"/>
      <c r="V24" s="103"/>
      <c r="W24" s="103"/>
    </row>
    <row r="25" spans="1:23" ht="25.5" x14ac:dyDescent="0.25">
      <c r="A25" s="2" t="s">
        <v>18</v>
      </c>
      <c r="B25" s="56" t="s">
        <v>91</v>
      </c>
      <c r="C25" s="14">
        <f>287+4604+19+72+1636+454+36</f>
        <v>7108</v>
      </c>
      <c r="D25" s="21"/>
      <c r="E25" s="30">
        <f t="shared" si="0"/>
        <v>7108</v>
      </c>
      <c r="F25" s="22">
        <f>4600</f>
        <v>4600</v>
      </c>
      <c r="G25" s="32">
        <f t="shared" si="1"/>
        <v>-2508</v>
      </c>
      <c r="H25" s="33">
        <f t="shared" si="2"/>
        <v>154.52173913043478</v>
      </c>
      <c r="I25" s="23">
        <v>4000</v>
      </c>
      <c r="J25" s="35">
        <f t="shared" si="3"/>
        <v>600</v>
      </c>
      <c r="K25" s="36">
        <f t="shared" si="4"/>
        <v>86.956521739130437</v>
      </c>
      <c r="L25" s="20" t="s">
        <v>62</v>
      </c>
      <c r="M25" s="20"/>
      <c r="N25" s="20"/>
      <c r="O25" s="20"/>
      <c r="P25" s="20"/>
      <c r="Q25" s="20"/>
      <c r="R25" s="20"/>
      <c r="S25" s="20"/>
      <c r="T25" s="20"/>
      <c r="U25" s="20"/>
      <c r="V25" s="20"/>
      <c r="W25" s="20"/>
    </row>
    <row r="26" spans="1:23" ht="25.5" x14ac:dyDescent="0.25">
      <c r="A26" s="2" t="s">
        <v>19</v>
      </c>
      <c r="B26" s="56" t="s">
        <v>92</v>
      </c>
      <c r="C26" s="14">
        <v>0</v>
      </c>
      <c r="D26" s="21"/>
      <c r="E26" s="30">
        <f t="shared" si="0"/>
        <v>0</v>
      </c>
      <c r="F26" s="22">
        <f>5000+100+800</f>
        <v>5900</v>
      </c>
      <c r="G26" s="32">
        <f t="shared" si="1"/>
        <v>5900</v>
      </c>
      <c r="H26" s="33">
        <f t="shared" si="2"/>
        <v>0</v>
      </c>
      <c r="I26" s="23">
        <v>689.76</v>
      </c>
      <c r="J26" s="35">
        <f t="shared" si="3"/>
        <v>5210.24</v>
      </c>
      <c r="K26" s="36">
        <f t="shared" si="4"/>
        <v>11.690847457627118</v>
      </c>
      <c r="L26" s="20"/>
      <c r="M26" s="20"/>
      <c r="N26" s="20"/>
      <c r="O26" s="20"/>
      <c r="P26" s="20"/>
      <c r="Q26" s="20"/>
      <c r="R26" s="20"/>
      <c r="S26" s="20"/>
      <c r="T26" s="20"/>
      <c r="U26" s="20"/>
      <c r="V26" s="20"/>
      <c r="W26" s="20"/>
    </row>
    <row r="27" spans="1:23" ht="38.25" x14ac:dyDescent="0.25">
      <c r="A27" s="2" t="s">
        <v>75</v>
      </c>
      <c r="B27" s="56" t="s">
        <v>93</v>
      </c>
      <c r="C27" s="14">
        <f>405+12026+24+257</f>
        <v>12712</v>
      </c>
      <c r="D27" s="21"/>
      <c r="E27" s="30">
        <f t="shared" si="0"/>
        <v>12712</v>
      </c>
      <c r="F27" s="22">
        <f>18000+1000+2000+200+1000</f>
        <v>22200</v>
      </c>
      <c r="G27" s="32">
        <f t="shared" si="1"/>
        <v>9488</v>
      </c>
      <c r="H27" s="33">
        <f t="shared" si="2"/>
        <v>57.261261261261261</v>
      </c>
      <c r="I27" s="23">
        <v>15000</v>
      </c>
      <c r="J27" s="35">
        <f t="shared" si="3"/>
        <v>7200</v>
      </c>
      <c r="K27" s="36">
        <f t="shared" si="4"/>
        <v>67.567567567567565</v>
      </c>
      <c r="L27" s="20" t="s">
        <v>83</v>
      </c>
      <c r="M27" s="20"/>
      <c r="N27" s="20"/>
      <c r="O27" s="20"/>
      <c r="P27" s="20"/>
      <c r="Q27" s="20"/>
      <c r="R27" s="20"/>
      <c r="S27" s="20"/>
      <c r="T27" s="20"/>
      <c r="U27" s="20"/>
      <c r="V27" s="20"/>
      <c r="W27" s="20"/>
    </row>
    <row r="28" spans="1:23" x14ac:dyDescent="0.25">
      <c r="A28" s="2" t="s">
        <v>12</v>
      </c>
      <c r="B28" s="56">
        <v>675650</v>
      </c>
      <c r="C28" s="14">
        <f>270+47+637+30+77</f>
        <v>1061</v>
      </c>
      <c r="D28" s="21"/>
      <c r="E28" s="30">
        <f t="shared" si="0"/>
        <v>1061</v>
      </c>
      <c r="F28" s="22">
        <f>2000</f>
        <v>2000</v>
      </c>
      <c r="G28" s="32">
        <f t="shared" si="1"/>
        <v>939</v>
      </c>
      <c r="H28" s="33">
        <f t="shared" si="2"/>
        <v>53.05</v>
      </c>
      <c r="I28" s="23">
        <v>2000</v>
      </c>
      <c r="J28" s="35">
        <f t="shared" si="3"/>
        <v>0</v>
      </c>
      <c r="K28" s="36">
        <f t="shared" si="4"/>
        <v>100</v>
      </c>
      <c r="L28" s="20" t="s">
        <v>78</v>
      </c>
      <c r="M28" s="20"/>
      <c r="N28" s="20"/>
      <c r="O28" s="20"/>
      <c r="P28" s="20"/>
      <c r="Q28" s="20"/>
      <c r="R28" s="20"/>
      <c r="S28" s="20"/>
      <c r="T28" s="20"/>
      <c r="U28" s="20"/>
      <c r="V28" s="20"/>
      <c r="W28" s="20"/>
    </row>
    <row r="29" spans="1:23" x14ac:dyDescent="0.25">
      <c r="A29" s="5" t="s">
        <v>30</v>
      </c>
      <c r="B29" s="59"/>
      <c r="C29" s="7"/>
      <c r="D29" s="7"/>
      <c r="E29" s="7"/>
      <c r="F29" s="16"/>
      <c r="G29" s="7"/>
      <c r="H29" s="37"/>
      <c r="I29" s="16"/>
      <c r="J29" s="7"/>
      <c r="K29" s="37"/>
      <c r="L29" s="20"/>
      <c r="M29" s="20"/>
      <c r="N29" s="20"/>
      <c r="O29" s="20"/>
      <c r="P29" s="20"/>
      <c r="Q29" s="20"/>
      <c r="R29" s="20"/>
      <c r="S29" s="20"/>
      <c r="T29" s="20"/>
      <c r="U29" s="20"/>
      <c r="V29" s="20"/>
      <c r="W29" s="20"/>
    </row>
    <row r="30" spans="1:23" ht="60" x14ac:dyDescent="0.25">
      <c r="A30" s="2" t="s">
        <v>20</v>
      </c>
      <c r="B30" s="56">
        <v>735100</v>
      </c>
      <c r="C30" s="14"/>
      <c r="D30" s="21"/>
      <c r="E30" s="30">
        <f t="shared" si="0"/>
        <v>0</v>
      </c>
      <c r="F30" s="22">
        <f>12000+25000</f>
        <v>37000</v>
      </c>
      <c r="G30" s="32">
        <f t="shared" si="1"/>
        <v>37000</v>
      </c>
      <c r="H30" s="33">
        <f t="shared" si="2"/>
        <v>0</v>
      </c>
      <c r="I30" s="95">
        <v>22000</v>
      </c>
      <c r="J30" s="35">
        <f t="shared" si="3"/>
        <v>15000</v>
      </c>
      <c r="K30" s="36">
        <f t="shared" si="4"/>
        <v>59.45945945945946</v>
      </c>
      <c r="L30" s="103" t="s">
        <v>63</v>
      </c>
      <c r="M30" s="103"/>
      <c r="N30" s="103"/>
      <c r="O30" s="103"/>
      <c r="P30" s="103"/>
      <c r="Q30" s="103"/>
      <c r="R30" s="103"/>
      <c r="S30" s="103"/>
      <c r="T30" s="103"/>
      <c r="U30" s="103"/>
      <c r="V30" s="103"/>
      <c r="W30" s="103"/>
    </row>
    <row r="31" spans="1:23" x14ac:dyDescent="0.25">
      <c r="A31" s="3" t="s">
        <v>21</v>
      </c>
      <c r="B31" s="56"/>
      <c r="C31" s="14"/>
      <c r="D31" s="21"/>
      <c r="E31" s="30">
        <f t="shared" si="0"/>
        <v>0</v>
      </c>
      <c r="F31" s="22"/>
      <c r="G31" s="32">
        <f t="shared" si="1"/>
        <v>0</v>
      </c>
      <c r="H31" s="33" t="e">
        <f t="shared" si="2"/>
        <v>#DIV/0!</v>
      </c>
      <c r="I31" s="23"/>
      <c r="J31" s="35">
        <f t="shared" si="3"/>
        <v>0</v>
      </c>
      <c r="K31" s="36" t="e">
        <f t="shared" si="4"/>
        <v>#DIV/0!</v>
      </c>
      <c r="L31" s="103" t="s">
        <v>64</v>
      </c>
      <c r="M31" s="20"/>
      <c r="N31" s="20"/>
      <c r="O31" s="20"/>
      <c r="P31" s="20"/>
      <c r="Q31" s="20"/>
      <c r="R31" s="20"/>
      <c r="S31" s="20"/>
      <c r="T31" s="20"/>
      <c r="U31" s="20"/>
      <c r="V31" s="20"/>
      <c r="W31" s="20"/>
    </row>
    <row r="32" spans="1:23" x14ac:dyDescent="0.25">
      <c r="A32" s="3" t="s">
        <v>22</v>
      </c>
      <c r="B32" s="56"/>
      <c r="C32" s="14"/>
      <c r="D32" s="21"/>
      <c r="E32" s="30">
        <f t="shared" si="0"/>
        <v>0</v>
      </c>
      <c r="F32" s="22"/>
      <c r="G32" s="32">
        <f t="shared" si="1"/>
        <v>0</v>
      </c>
      <c r="H32" s="33" t="e">
        <f t="shared" si="2"/>
        <v>#DIV/0!</v>
      </c>
      <c r="I32" s="23"/>
      <c r="J32" s="35">
        <f t="shared" si="3"/>
        <v>0</v>
      </c>
      <c r="K32" s="36" t="e">
        <f t="shared" si="4"/>
        <v>#DIV/0!</v>
      </c>
      <c r="L32" s="103"/>
      <c r="M32" s="20"/>
      <c r="N32" s="20"/>
      <c r="O32" s="20"/>
      <c r="P32" s="20"/>
      <c r="Q32" s="20"/>
      <c r="R32" s="20"/>
      <c r="S32" s="20"/>
      <c r="T32" s="20"/>
      <c r="U32" s="20"/>
      <c r="V32" s="20"/>
      <c r="W32" s="20"/>
    </row>
    <row r="33" spans="1:23" x14ac:dyDescent="0.25">
      <c r="A33" s="3" t="s">
        <v>23</v>
      </c>
      <c r="B33" s="56"/>
      <c r="C33" s="14"/>
      <c r="D33" s="21"/>
      <c r="E33" s="30">
        <f t="shared" si="0"/>
        <v>0</v>
      </c>
      <c r="F33" s="22"/>
      <c r="G33" s="32">
        <f t="shared" si="1"/>
        <v>0</v>
      </c>
      <c r="H33" s="33" t="e">
        <f t="shared" si="2"/>
        <v>#DIV/0!</v>
      </c>
      <c r="I33" s="23"/>
      <c r="J33" s="35">
        <f t="shared" si="3"/>
        <v>0</v>
      </c>
      <c r="K33" s="36" t="e">
        <f t="shared" si="4"/>
        <v>#DIV/0!</v>
      </c>
      <c r="L33" s="103"/>
      <c r="M33" s="20"/>
      <c r="N33" s="20"/>
      <c r="O33" s="20"/>
      <c r="P33" s="20"/>
      <c r="Q33" s="20"/>
      <c r="R33" s="20"/>
      <c r="S33" s="20"/>
      <c r="T33" s="20"/>
      <c r="U33" s="20"/>
      <c r="V33" s="20"/>
      <c r="W33" s="20"/>
    </row>
    <row r="34" spans="1:23" x14ac:dyDescent="0.25">
      <c r="A34" s="3" t="s">
        <v>24</v>
      </c>
      <c r="B34" s="56">
        <v>760500</v>
      </c>
      <c r="C34" s="14">
        <f>6300+99</f>
        <v>6399</v>
      </c>
      <c r="D34" s="21"/>
      <c r="E34" s="30">
        <f t="shared" si="0"/>
        <v>6399</v>
      </c>
      <c r="F34" s="22">
        <v>100</v>
      </c>
      <c r="G34" s="32">
        <f t="shared" si="1"/>
        <v>-6299</v>
      </c>
      <c r="H34" s="33">
        <f t="shared" si="2"/>
        <v>6399</v>
      </c>
      <c r="I34" s="23">
        <v>200</v>
      </c>
      <c r="J34" s="35">
        <f t="shared" si="3"/>
        <v>-100</v>
      </c>
      <c r="K34" s="36">
        <f t="shared" si="4"/>
        <v>200</v>
      </c>
      <c r="L34" s="103"/>
      <c r="M34" s="20"/>
      <c r="N34" s="20"/>
      <c r="O34" s="20"/>
      <c r="P34" s="20"/>
      <c r="Q34" s="20"/>
      <c r="R34" s="20"/>
      <c r="S34" s="20"/>
      <c r="T34" s="20"/>
      <c r="U34" s="20"/>
      <c r="V34" s="20"/>
      <c r="W34" s="20"/>
    </row>
    <row r="35" spans="1:23" x14ac:dyDescent="0.25">
      <c r="A35" s="3" t="s">
        <v>25</v>
      </c>
      <c r="B35" s="56" t="s">
        <v>94</v>
      </c>
      <c r="C35" s="14">
        <v>10989</v>
      </c>
      <c r="D35" s="21"/>
      <c r="E35" s="30">
        <f t="shared" si="0"/>
        <v>10989</v>
      </c>
      <c r="F35" s="22">
        <v>1200</v>
      </c>
      <c r="G35" s="32">
        <f t="shared" si="1"/>
        <v>-9789</v>
      </c>
      <c r="H35" s="33">
        <f t="shared" si="2"/>
        <v>915.75</v>
      </c>
      <c r="I35" s="23">
        <v>6397.2</v>
      </c>
      <c r="J35" s="35">
        <f t="shared" si="3"/>
        <v>-5197.2</v>
      </c>
      <c r="K35" s="36">
        <f t="shared" si="4"/>
        <v>533.1</v>
      </c>
      <c r="L35" s="103"/>
      <c r="M35" s="20"/>
      <c r="N35" s="20"/>
      <c r="O35" s="20"/>
      <c r="P35" s="20"/>
      <c r="Q35" s="20"/>
      <c r="R35" s="20"/>
      <c r="S35" s="20"/>
      <c r="T35" s="20"/>
      <c r="U35" s="20"/>
      <c r="V35" s="20"/>
      <c r="W35" s="20"/>
    </row>
    <row r="36" spans="1:23" x14ac:dyDescent="0.25">
      <c r="A36" s="5" t="s">
        <v>31</v>
      </c>
      <c r="B36" s="59"/>
      <c r="C36" s="14"/>
      <c r="D36" s="21"/>
      <c r="E36" s="30">
        <f t="shared" si="0"/>
        <v>0</v>
      </c>
      <c r="F36" s="22"/>
      <c r="G36" s="32">
        <f t="shared" si="1"/>
        <v>0</v>
      </c>
      <c r="H36" s="33" t="e">
        <f t="shared" si="2"/>
        <v>#DIV/0!</v>
      </c>
      <c r="I36" s="23">
        <v>0</v>
      </c>
      <c r="J36" s="35">
        <f t="shared" si="3"/>
        <v>0</v>
      </c>
      <c r="K36" s="36" t="e">
        <f t="shared" si="4"/>
        <v>#DIV/0!</v>
      </c>
      <c r="L36" s="103"/>
      <c r="M36" s="20"/>
      <c r="N36" s="20"/>
      <c r="O36" s="20"/>
      <c r="P36" s="20"/>
      <c r="Q36" s="20"/>
      <c r="R36" s="20"/>
      <c r="S36" s="20"/>
      <c r="T36" s="20"/>
      <c r="U36" s="20"/>
      <c r="V36" s="20"/>
      <c r="W36" s="20"/>
    </row>
    <row r="37" spans="1:23" x14ac:dyDescent="0.25">
      <c r="A37" s="2" t="s">
        <v>26</v>
      </c>
      <c r="B37" s="56"/>
      <c r="C37" s="14"/>
      <c r="D37" s="21"/>
      <c r="E37" s="30">
        <f t="shared" si="0"/>
        <v>0</v>
      </c>
      <c r="F37" s="22">
        <v>0</v>
      </c>
      <c r="G37" s="32">
        <f t="shared" si="1"/>
        <v>0</v>
      </c>
      <c r="H37" s="33" t="e">
        <f t="shared" si="2"/>
        <v>#DIV/0!</v>
      </c>
      <c r="I37" s="23">
        <v>0</v>
      </c>
      <c r="J37" s="35">
        <f t="shared" si="3"/>
        <v>0</v>
      </c>
      <c r="K37" s="36" t="e">
        <f t="shared" si="4"/>
        <v>#DIV/0!</v>
      </c>
      <c r="L37" s="20" t="s">
        <v>66</v>
      </c>
      <c r="M37" s="20"/>
      <c r="N37" s="20"/>
      <c r="O37" s="20"/>
      <c r="P37" s="20"/>
      <c r="Q37" s="20"/>
      <c r="R37" s="20"/>
      <c r="S37" s="20"/>
      <c r="T37" s="20"/>
      <c r="U37" s="20"/>
      <c r="V37" s="20"/>
      <c r="W37" s="20"/>
    </row>
    <row r="38" spans="1:23" x14ac:dyDescent="0.25">
      <c r="A38" s="2" t="s">
        <v>27</v>
      </c>
      <c r="B38" s="56"/>
      <c r="C38" s="14"/>
      <c r="D38" s="21"/>
      <c r="E38" s="30">
        <f t="shared" si="0"/>
        <v>0</v>
      </c>
      <c r="F38" s="22">
        <v>0</v>
      </c>
      <c r="G38" s="32">
        <f t="shared" si="1"/>
        <v>0</v>
      </c>
      <c r="H38" s="33" t="e">
        <f t="shared" si="2"/>
        <v>#DIV/0!</v>
      </c>
      <c r="I38" s="23">
        <v>0</v>
      </c>
      <c r="J38" s="35">
        <f t="shared" si="3"/>
        <v>0</v>
      </c>
      <c r="K38" s="36" t="e">
        <f t="shared" si="4"/>
        <v>#DIV/0!</v>
      </c>
      <c r="L38" s="20" t="s">
        <v>74</v>
      </c>
      <c r="M38" s="20"/>
      <c r="N38" s="20"/>
      <c r="O38" s="20"/>
      <c r="P38" s="20"/>
      <c r="Q38" s="20"/>
      <c r="R38" s="20"/>
      <c r="S38" s="20"/>
      <c r="T38" s="20"/>
      <c r="U38" s="20"/>
      <c r="V38" s="20"/>
      <c r="W38" s="20"/>
    </row>
    <row r="39" spans="1:23" x14ac:dyDescent="0.25">
      <c r="A39" s="5" t="s">
        <v>32</v>
      </c>
      <c r="B39" s="59"/>
      <c r="C39" s="7"/>
      <c r="D39" s="7"/>
      <c r="E39" s="7"/>
      <c r="F39" s="16"/>
      <c r="G39" s="7"/>
      <c r="H39" s="37"/>
      <c r="I39" s="16"/>
      <c r="J39" s="7"/>
      <c r="K39" s="37"/>
      <c r="L39" s="20"/>
      <c r="M39" s="20"/>
      <c r="N39" s="20"/>
      <c r="O39" s="20"/>
      <c r="P39" s="20"/>
      <c r="Q39" s="20"/>
      <c r="R39" s="20"/>
      <c r="S39" s="20"/>
      <c r="T39" s="20"/>
      <c r="U39" s="20"/>
      <c r="V39" s="20"/>
      <c r="W39" s="20"/>
    </row>
    <row r="40" spans="1:23" x14ac:dyDescent="0.25">
      <c r="A40" s="2" t="s">
        <v>28</v>
      </c>
      <c r="B40" s="56">
        <v>810500</v>
      </c>
      <c r="C40" s="14">
        <v>312255</v>
      </c>
      <c r="D40" s="21"/>
      <c r="E40" s="30">
        <f t="shared" si="0"/>
        <v>312255</v>
      </c>
      <c r="F40" s="22">
        <v>200000</v>
      </c>
      <c r="G40" s="32">
        <f t="shared" si="1"/>
        <v>-112255</v>
      </c>
      <c r="H40" s="33">
        <f t="shared" si="2"/>
        <v>156.1275</v>
      </c>
      <c r="I40" s="23">
        <v>254859.5</v>
      </c>
      <c r="J40" s="35">
        <f t="shared" si="3"/>
        <v>-54859.5</v>
      </c>
      <c r="K40" s="36">
        <f t="shared" si="4"/>
        <v>127.42975</v>
      </c>
      <c r="L40" s="20" t="s">
        <v>67</v>
      </c>
      <c r="M40" s="20"/>
      <c r="N40" s="20"/>
      <c r="O40" s="20"/>
      <c r="P40" s="20"/>
      <c r="Q40" s="20"/>
      <c r="R40" s="20"/>
      <c r="S40" s="20"/>
      <c r="T40" s="20"/>
      <c r="U40" s="20"/>
      <c r="V40" s="20"/>
      <c r="W40" s="20"/>
    </row>
    <row r="41" spans="1:23" x14ac:dyDescent="0.25">
      <c r="A41" s="2" t="s">
        <v>29</v>
      </c>
      <c r="B41" s="56">
        <v>750400</v>
      </c>
      <c r="C41" s="14">
        <f>10436+853</f>
        <v>11289</v>
      </c>
      <c r="D41" s="21"/>
      <c r="E41" s="30">
        <f t="shared" si="0"/>
        <v>11289</v>
      </c>
      <c r="F41" s="22">
        <v>10000</v>
      </c>
      <c r="G41" s="32">
        <f t="shared" si="1"/>
        <v>-1289</v>
      </c>
      <c r="H41" s="33">
        <f t="shared" si="2"/>
        <v>112.89</v>
      </c>
      <c r="I41" s="23">
        <v>14352</v>
      </c>
      <c r="J41" s="35">
        <f t="shared" si="3"/>
        <v>-4352</v>
      </c>
      <c r="K41" s="36">
        <f t="shared" si="4"/>
        <v>143.52000000000001</v>
      </c>
      <c r="L41" s="20" t="s">
        <v>68</v>
      </c>
      <c r="M41" s="20"/>
      <c r="N41" s="20"/>
      <c r="O41" s="20"/>
      <c r="P41" s="20"/>
      <c r="Q41" s="20"/>
      <c r="R41" s="20"/>
      <c r="S41" s="20"/>
      <c r="T41" s="20"/>
      <c r="U41" s="20"/>
      <c r="V41" s="20"/>
      <c r="W41" s="20"/>
    </row>
    <row r="42" spans="1:23" x14ac:dyDescent="0.25">
      <c r="A42" s="2" t="s">
        <v>76</v>
      </c>
      <c r="B42" s="56"/>
      <c r="C42" s="14"/>
      <c r="D42" s="21"/>
      <c r="E42" s="30">
        <f t="shared" si="0"/>
        <v>0</v>
      </c>
      <c r="F42" s="22">
        <v>0</v>
      </c>
      <c r="G42" s="32">
        <f t="shared" si="1"/>
        <v>0</v>
      </c>
      <c r="H42" s="33" t="e">
        <f t="shared" si="2"/>
        <v>#DIV/0!</v>
      </c>
      <c r="I42" s="23">
        <v>6527</v>
      </c>
      <c r="J42" s="35">
        <f t="shared" si="3"/>
        <v>-6527</v>
      </c>
      <c r="K42" s="36" t="e">
        <f t="shared" si="4"/>
        <v>#DIV/0!</v>
      </c>
      <c r="L42" s="20" t="s">
        <v>77</v>
      </c>
      <c r="M42" s="20"/>
      <c r="N42" s="20"/>
      <c r="O42" s="20"/>
      <c r="P42" s="20"/>
      <c r="Q42" s="20"/>
      <c r="R42" s="20"/>
      <c r="S42" s="20"/>
      <c r="T42" s="20"/>
      <c r="U42" s="20"/>
      <c r="V42" s="20"/>
      <c r="W42" s="20"/>
    </row>
    <row r="43" spans="1:23" x14ac:dyDescent="0.25">
      <c r="A43" s="2"/>
      <c r="B43" s="56"/>
      <c r="C43" s="14"/>
      <c r="D43" s="21"/>
      <c r="E43" s="30"/>
      <c r="F43" s="22"/>
      <c r="G43" s="32"/>
      <c r="H43" s="33"/>
      <c r="I43" s="23"/>
      <c r="J43" s="35"/>
      <c r="K43" s="36"/>
      <c r="L43" s="20"/>
      <c r="M43" s="20"/>
      <c r="N43" s="20"/>
      <c r="O43" s="20"/>
      <c r="P43" s="20"/>
      <c r="Q43" s="20"/>
      <c r="R43" s="20"/>
      <c r="S43" s="20"/>
      <c r="T43" s="20"/>
      <c r="U43" s="20"/>
      <c r="V43" s="20"/>
      <c r="W43" s="20"/>
    </row>
    <row r="44" spans="1:23" x14ac:dyDescent="0.25">
      <c r="A44" s="2" t="s">
        <v>36</v>
      </c>
      <c r="B44" s="56"/>
      <c r="C44" s="8">
        <f>SUM(C17:C43)</f>
        <v>746113</v>
      </c>
      <c r="D44" s="8">
        <f t="shared" ref="D44:G44" si="6">SUM(D17:D43)</f>
        <v>0</v>
      </c>
      <c r="E44" s="15">
        <f t="shared" ref="E44" si="7">C44+D44</f>
        <v>746113</v>
      </c>
      <c r="F44" s="8">
        <f t="shared" si="6"/>
        <v>844072.75999999989</v>
      </c>
      <c r="G44" s="18">
        <f t="shared" si="6"/>
        <v>97959.759999999951</v>
      </c>
      <c r="H44" s="17">
        <f t="shared" ref="H44" si="8">E44/F44%</f>
        <v>88.394393867182742</v>
      </c>
      <c r="I44" s="9">
        <f>SUM(I17:I43)</f>
        <v>881835.27</v>
      </c>
      <c r="J44" s="15">
        <f t="shared" ref="J44" si="9">F44-I44</f>
        <v>-37762.510000000126</v>
      </c>
      <c r="K44" s="17">
        <f t="shared" ref="K44" si="10">I44/F44%</f>
        <v>104.4738453590186</v>
      </c>
      <c r="L44" s="20"/>
      <c r="M44" s="20"/>
      <c r="N44" s="20"/>
      <c r="O44" s="20"/>
      <c r="P44" s="20"/>
      <c r="Q44" s="20"/>
      <c r="R44" s="20"/>
      <c r="S44" s="20"/>
      <c r="T44" s="20"/>
      <c r="U44" s="20"/>
      <c r="V44" s="20"/>
      <c r="W44" s="20"/>
    </row>
    <row r="45" spans="1:23" x14ac:dyDescent="0.25">
      <c r="A45" s="1" t="s">
        <v>51</v>
      </c>
      <c r="B45" s="9"/>
      <c r="C45" s="9"/>
      <c r="D45" s="9"/>
      <c r="E45" s="9">
        <f>E44+E14</f>
        <v>-112427</v>
      </c>
      <c r="F45" s="9">
        <f>F44+F14</f>
        <v>43471.759999999893</v>
      </c>
      <c r="G45" s="9"/>
      <c r="H45" s="9"/>
      <c r="I45" s="9">
        <f>I44+I14</f>
        <v>60817.400000000023</v>
      </c>
      <c r="J45" s="9"/>
      <c r="K45" s="9"/>
      <c r="L45" s="20"/>
      <c r="M45" s="20"/>
      <c r="N45" s="20"/>
      <c r="O45" s="20"/>
      <c r="P45" s="20"/>
      <c r="Q45" s="20"/>
      <c r="R45" s="20"/>
      <c r="S45" s="20"/>
      <c r="T45" s="20"/>
      <c r="U45" s="20"/>
      <c r="V45" s="20"/>
      <c r="W45" s="20"/>
    </row>
    <row r="46" spans="1:23" x14ac:dyDescent="0.25">
      <c r="A46" s="1" t="s">
        <v>52</v>
      </c>
      <c r="B46" s="9"/>
      <c r="C46" s="9"/>
      <c r="D46" s="9"/>
      <c r="E46" s="9">
        <f>E6+E45</f>
        <v>-286777</v>
      </c>
      <c r="F46" s="9">
        <f>F6+F45</f>
        <v>-130878.24000000011</v>
      </c>
      <c r="G46" s="9"/>
      <c r="H46" s="9"/>
      <c r="I46" s="9">
        <f>I6+I45</f>
        <v>-113532.59999999998</v>
      </c>
      <c r="J46" s="9"/>
      <c r="K46" s="9"/>
      <c r="L46" s="20"/>
      <c r="M46" s="20"/>
      <c r="N46" s="20"/>
      <c r="O46" s="20"/>
      <c r="P46" s="20"/>
      <c r="Q46" s="20"/>
      <c r="R46" s="20"/>
      <c r="S46" s="20"/>
      <c r="T46" s="20"/>
      <c r="U46" s="20"/>
      <c r="V46" s="20"/>
      <c r="W46" s="20"/>
    </row>
    <row r="48" spans="1:23" x14ac:dyDescent="0.25">
      <c r="A48" s="1" t="s">
        <v>37</v>
      </c>
      <c r="E48" s="10"/>
      <c r="F48" s="10"/>
      <c r="G48" s="10"/>
      <c r="H48" s="11"/>
      <c r="I48" s="10"/>
      <c r="J48" s="10"/>
    </row>
    <row r="49" spans="1:11" x14ac:dyDescent="0.25">
      <c r="A49" s="1" t="s">
        <v>40</v>
      </c>
      <c r="C49">
        <f>E15</f>
        <v>-1032890</v>
      </c>
      <c r="H49"/>
      <c r="K49"/>
    </row>
    <row r="50" spans="1:11" x14ac:dyDescent="0.25">
      <c r="A50" s="1" t="s">
        <v>41</v>
      </c>
      <c r="C50">
        <f>E44</f>
        <v>746113</v>
      </c>
      <c r="H50"/>
      <c r="K50"/>
    </row>
    <row r="51" spans="1:11" x14ac:dyDescent="0.25">
      <c r="A51" s="1" t="s">
        <v>42</v>
      </c>
      <c r="C51">
        <f>I15</f>
        <v>-995367.87</v>
      </c>
    </row>
    <row r="52" spans="1:11" x14ac:dyDescent="0.25">
      <c r="A52" s="1" t="s">
        <v>71</v>
      </c>
      <c r="C52">
        <f>I44</f>
        <v>881835.27</v>
      </c>
    </row>
    <row r="53" spans="1:11" x14ac:dyDescent="0.25">
      <c r="A53" s="1" t="s">
        <v>43</v>
      </c>
      <c r="C53">
        <f>C51+C52</f>
        <v>-113532.59999999998</v>
      </c>
    </row>
    <row r="54" spans="1:11" x14ac:dyDescent="0.25">
      <c r="A54" s="1" t="s">
        <v>44</v>
      </c>
      <c r="C54" s="4">
        <f>C53/C7%</f>
        <v>19.253778422966295</v>
      </c>
    </row>
    <row r="55" spans="1:11" x14ac:dyDescent="0.25">
      <c r="A55" s="1" t="s">
        <v>45</v>
      </c>
      <c r="C55" s="4">
        <f>C53/C15%</f>
        <v>10.99174161817812</v>
      </c>
    </row>
    <row r="56" spans="1:11" x14ac:dyDescent="0.25">
      <c r="C56" s="19"/>
    </row>
    <row r="57" spans="1:11" x14ac:dyDescent="0.25">
      <c r="A57" s="1" t="s">
        <v>46</v>
      </c>
      <c r="C57" s="19"/>
    </row>
    <row r="58" spans="1:11" x14ac:dyDescent="0.25">
      <c r="C58" s="19"/>
    </row>
    <row r="59" spans="1:11" ht="30" x14ac:dyDescent="0.25">
      <c r="A59" s="1" t="s">
        <v>141</v>
      </c>
      <c r="C59" s="19">
        <v>27</v>
      </c>
    </row>
    <row r="60" spans="1:11" ht="30" x14ac:dyDescent="0.25">
      <c r="A60" s="1" t="s">
        <v>145</v>
      </c>
      <c r="C60" s="19">
        <v>34</v>
      </c>
    </row>
    <row r="61" spans="1:11" ht="30" x14ac:dyDescent="0.25">
      <c r="A61" s="1" t="s">
        <v>143</v>
      </c>
      <c r="C61" s="19">
        <v>36</v>
      </c>
    </row>
    <row r="62" spans="1:11" x14ac:dyDescent="0.25">
      <c r="A62" s="1" t="s">
        <v>47</v>
      </c>
      <c r="C62" s="4">
        <f>C59*(4/12)+ C60*(3/12)+C61*(5/12)</f>
        <v>32.5</v>
      </c>
    </row>
    <row r="63" spans="1:11" x14ac:dyDescent="0.25">
      <c r="A63" s="1" t="s">
        <v>69</v>
      </c>
      <c r="C63" s="4">
        <f>F44/C62</f>
        <v>25971.469538461533</v>
      </c>
    </row>
    <row r="64" spans="1:11" x14ac:dyDescent="0.25">
      <c r="A64" s="1" t="s">
        <v>70</v>
      </c>
      <c r="C64">
        <f>C44/C62</f>
        <v>22957.323076923076</v>
      </c>
    </row>
    <row r="65" spans="1:12" x14ac:dyDescent="0.25">
      <c r="A65" s="89"/>
      <c r="B65" s="89"/>
      <c r="C65" s="81" t="s">
        <v>134</v>
      </c>
      <c r="D65" s="81"/>
      <c r="E65" s="81"/>
      <c r="F65" s="81" t="s">
        <v>3</v>
      </c>
      <c r="G65" s="81"/>
      <c r="H65" s="81" t="s">
        <v>4</v>
      </c>
      <c r="I65" s="4"/>
      <c r="K65"/>
      <c r="L65" s="4"/>
    </row>
    <row r="66" spans="1:12" x14ac:dyDescent="0.25">
      <c r="A66" s="81" t="s">
        <v>105</v>
      </c>
      <c r="B66" s="88"/>
      <c r="C66" s="81">
        <f>C6</f>
        <v>-174350</v>
      </c>
      <c r="D66" s="81"/>
      <c r="E66" s="81"/>
      <c r="F66" s="81">
        <f>F6</f>
        <v>-174350</v>
      </c>
      <c r="G66" s="81"/>
      <c r="H66" s="81">
        <f>I6</f>
        <v>-174350</v>
      </c>
    </row>
    <row r="67" spans="1:12" x14ac:dyDescent="0.25">
      <c r="A67" s="81" t="s">
        <v>106</v>
      </c>
      <c r="B67" s="88"/>
      <c r="C67" s="81">
        <f>F7</f>
        <v>-590601</v>
      </c>
      <c r="D67" s="81"/>
      <c r="E67" s="81"/>
      <c r="F67" s="81">
        <f>F7</f>
        <v>-590601</v>
      </c>
      <c r="G67" s="81"/>
      <c r="H67" s="81">
        <f>I7</f>
        <v>-590601</v>
      </c>
    </row>
    <row r="68" spans="1:12" x14ac:dyDescent="0.25">
      <c r="A68" s="81"/>
      <c r="B68" s="88"/>
      <c r="C68" s="81"/>
      <c r="D68" s="81"/>
      <c r="E68" s="81"/>
      <c r="F68" s="81"/>
      <c r="G68" s="81"/>
      <c r="H68" s="81"/>
    </row>
    <row r="69" spans="1:12" x14ac:dyDescent="0.25">
      <c r="A69" s="82" t="s">
        <v>107</v>
      </c>
      <c r="B69" s="88"/>
      <c r="C69" s="81"/>
      <c r="D69" s="81"/>
      <c r="E69" s="81"/>
      <c r="F69" s="81"/>
      <c r="G69" s="81"/>
      <c r="H69" s="81"/>
    </row>
    <row r="70" spans="1:12" x14ac:dyDescent="0.25">
      <c r="A70" s="81" t="s">
        <v>108</v>
      </c>
      <c r="B70" s="88"/>
      <c r="C70" s="81">
        <f>C7</f>
        <v>-589664</v>
      </c>
      <c r="D70" s="81"/>
      <c r="E70" s="81"/>
      <c r="F70" s="81">
        <f>F7</f>
        <v>-590601</v>
      </c>
      <c r="G70" s="81"/>
      <c r="H70" s="81">
        <f>I7</f>
        <v>-590601</v>
      </c>
    </row>
    <row r="71" spans="1:12" x14ac:dyDescent="0.25">
      <c r="A71" s="81" t="s">
        <v>109</v>
      </c>
      <c r="B71" s="88"/>
      <c r="C71" s="81">
        <f>C11+C12</f>
        <v>-238876</v>
      </c>
      <c r="D71" s="81"/>
      <c r="E71" s="81"/>
      <c r="F71" s="81">
        <f>F11+F12</f>
        <v>-180000</v>
      </c>
      <c r="G71" s="81"/>
      <c r="H71" s="81">
        <f>I11+I12</f>
        <v>-227416.87</v>
      </c>
    </row>
    <row r="72" spans="1:12" x14ac:dyDescent="0.25">
      <c r="A72" s="81" t="s">
        <v>110</v>
      </c>
      <c r="B72" s="88"/>
      <c r="C72" s="81">
        <f>C10</f>
        <v>0</v>
      </c>
      <c r="D72" s="81"/>
      <c r="E72" s="81"/>
      <c r="F72" s="81">
        <f>F10</f>
        <v>0</v>
      </c>
      <c r="G72" s="81"/>
      <c r="H72" s="81">
        <f>I10</f>
        <v>0</v>
      </c>
    </row>
    <row r="73" spans="1:12" x14ac:dyDescent="0.25">
      <c r="A73" s="81" t="s">
        <v>111</v>
      </c>
      <c r="B73" s="88"/>
      <c r="C73" s="81"/>
      <c r="D73" s="81"/>
      <c r="E73" s="81"/>
      <c r="F73" s="81"/>
      <c r="G73" s="81"/>
      <c r="H73" s="81"/>
    </row>
    <row r="74" spans="1:12" x14ac:dyDescent="0.25">
      <c r="A74" s="81" t="s">
        <v>112</v>
      </c>
      <c r="B74" s="88"/>
      <c r="C74" s="81">
        <f>C9</f>
        <v>-30000</v>
      </c>
      <c r="D74" s="81"/>
      <c r="E74" s="81"/>
      <c r="F74" s="81">
        <f>F9</f>
        <v>-30000</v>
      </c>
      <c r="G74" s="81"/>
      <c r="H74" s="81">
        <f>I9</f>
        <v>-3000</v>
      </c>
    </row>
    <row r="75" spans="1:12" x14ac:dyDescent="0.25">
      <c r="A75" s="81" t="s">
        <v>113</v>
      </c>
      <c r="B75" s="88"/>
      <c r="C75" s="81">
        <f>C8</f>
        <v>0</v>
      </c>
      <c r="D75" s="81"/>
      <c r="E75" s="81"/>
      <c r="F75" s="81">
        <f>F8</f>
        <v>0</v>
      </c>
      <c r="G75" s="81"/>
      <c r="H75" s="81">
        <f>I8</f>
        <v>0</v>
      </c>
    </row>
    <row r="76" spans="1:12" ht="15.75" thickBot="1" x14ac:dyDescent="0.3">
      <c r="A76" s="83" t="s">
        <v>114</v>
      </c>
      <c r="B76" s="88"/>
      <c r="C76" s="84">
        <f>SUM(C70:C75)</f>
        <v>-858540</v>
      </c>
      <c r="D76" s="81"/>
      <c r="E76" s="81"/>
      <c r="F76" s="84">
        <f>SUM(F70:F75)</f>
        <v>-800601</v>
      </c>
      <c r="G76" s="81"/>
      <c r="H76" s="84">
        <f>SUM(H70:H75)</f>
        <v>-821017.87</v>
      </c>
    </row>
    <row r="77" spans="1:12" ht="15.75" thickTop="1" x14ac:dyDescent="0.25">
      <c r="A77" s="81"/>
      <c r="B77" s="88"/>
      <c r="C77" s="81"/>
      <c r="D77" s="81"/>
      <c r="E77" s="81"/>
      <c r="F77" s="81"/>
      <c r="G77" s="81"/>
      <c r="H77" s="81"/>
    </row>
    <row r="78" spans="1:12" x14ac:dyDescent="0.25">
      <c r="A78" s="82" t="s">
        <v>115</v>
      </c>
      <c r="B78" s="88"/>
      <c r="C78" s="81"/>
      <c r="D78" s="81"/>
      <c r="E78" s="81"/>
      <c r="F78" s="81"/>
      <c r="G78" s="81"/>
      <c r="H78" s="81"/>
    </row>
    <row r="79" spans="1:12" x14ac:dyDescent="0.25">
      <c r="A79" s="81" t="s">
        <v>116</v>
      </c>
      <c r="B79" s="88"/>
      <c r="C79" s="81">
        <f>C20+C21</f>
        <v>382363</v>
      </c>
      <c r="D79" s="81"/>
      <c r="E79" s="81"/>
      <c r="F79" s="81">
        <f>F20+F21</f>
        <v>490353.79</v>
      </c>
      <c r="G79" s="81"/>
      <c r="H79" s="81">
        <f>I20+I21</f>
        <v>469590.84</v>
      </c>
    </row>
    <row r="80" spans="1:12" x14ac:dyDescent="0.25">
      <c r="A80" s="81" t="s">
        <v>117</v>
      </c>
      <c r="B80" s="88"/>
      <c r="C80" s="81">
        <f>C22</f>
        <v>1937</v>
      </c>
      <c r="D80" s="81"/>
      <c r="E80" s="81"/>
      <c r="F80" s="81">
        <f>F22</f>
        <v>1000</v>
      </c>
      <c r="G80" s="81"/>
      <c r="H80" s="81">
        <f>I22</f>
        <v>1500</v>
      </c>
    </row>
    <row r="81" spans="1:8" x14ac:dyDescent="0.25">
      <c r="A81" s="81" t="s">
        <v>118</v>
      </c>
      <c r="B81" s="88"/>
      <c r="C81" s="81">
        <f>C28</f>
        <v>1061</v>
      </c>
      <c r="D81" s="81"/>
      <c r="E81" s="81"/>
      <c r="F81" s="81">
        <f>F28</f>
        <v>2000</v>
      </c>
      <c r="G81" s="81"/>
      <c r="H81" s="81">
        <f>I28</f>
        <v>2000</v>
      </c>
    </row>
    <row r="82" spans="1:8" x14ac:dyDescent="0.25">
      <c r="A82" s="81" t="s">
        <v>119</v>
      </c>
      <c r="B82" s="88"/>
      <c r="C82" s="81">
        <f>C26</f>
        <v>0</v>
      </c>
      <c r="D82" s="81"/>
      <c r="E82" s="81"/>
      <c r="F82" s="81">
        <f>F26</f>
        <v>5900</v>
      </c>
      <c r="G82" s="81"/>
      <c r="H82" s="81">
        <f>I26</f>
        <v>689.76</v>
      </c>
    </row>
    <row r="83" spans="1:8" x14ac:dyDescent="0.25">
      <c r="A83" s="81" t="s">
        <v>120</v>
      </c>
      <c r="B83" s="88"/>
      <c r="C83" s="81">
        <f>C18</f>
        <v>0</v>
      </c>
      <c r="D83" s="81"/>
      <c r="E83" s="81"/>
      <c r="F83" s="81">
        <f>F18</f>
        <v>8000</v>
      </c>
      <c r="G83" s="81"/>
      <c r="H83" s="81">
        <f>I18</f>
        <v>8000</v>
      </c>
    </row>
    <row r="84" spans="1:8" x14ac:dyDescent="0.25">
      <c r="A84" s="81" t="s">
        <v>121</v>
      </c>
      <c r="B84" s="88"/>
      <c r="C84" s="81">
        <f>C40+C42</f>
        <v>312255</v>
      </c>
      <c r="D84" s="81"/>
      <c r="E84" s="81"/>
      <c r="F84" s="81">
        <f>F40+F42</f>
        <v>200000</v>
      </c>
      <c r="G84" s="81"/>
      <c r="H84" s="81">
        <f>I40+I42</f>
        <v>261386.5</v>
      </c>
    </row>
    <row r="85" spans="1:8" x14ac:dyDescent="0.25">
      <c r="A85" s="81" t="s">
        <v>122</v>
      </c>
      <c r="B85" s="88"/>
      <c r="C85" s="81">
        <f>C41</f>
        <v>11289</v>
      </c>
      <c r="D85" s="81"/>
      <c r="E85" s="81"/>
      <c r="F85" s="81">
        <f>F41</f>
        <v>10000</v>
      </c>
      <c r="G85" s="81"/>
      <c r="H85" s="81">
        <f>I41</f>
        <v>14352</v>
      </c>
    </row>
    <row r="86" spans="1:8" x14ac:dyDescent="0.25">
      <c r="A86" s="81" t="s">
        <v>123</v>
      </c>
      <c r="B86" s="88"/>
      <c r="C86" s="81">
        <f>C37+C38</f>
        <v>0</v>
      </c>
      <c r="D86" s="81"/>
      <c r="E86" s="81"/>
      <c r="F86" s="81">
        <f>F37+F38</f>
        <v>0</v>
      </c>
      <c r="G86" s="81"/>
      <c r="H86" s="81">
        <f>I37+I38</f>
        <v>0</v>
      </c>
    </row>
    <row r="87" spans="1:8" x14ac:dyDescent="0.25">
      <c r="A87" s="81" t="s">
        <v>124</v>
      </c>
      <c r="B87" s="88"/>
      <c r="C87" s="81">
        <f>C17+C24</f>
        <v>0</v>
      </c>
      <c r="D87" s="81"/>
      <c r="E87" s="81"/>
      <c r="F87" s="81">
        <f>F17+F24</f>
        <v>61718.97</v>
      </c>
      <c r="G87" s="87">
        <f>F87/F67%</f>
        <v>-10.450197341352283</v>
      </c>
      <c r="H87" s="90">
        <f>I17+I24</f>
        <v>76718.97</v>
      </c>
    </row>
    <row r="88" spans="1:8" x14ac:dyDescent="0.25">
      <c r="A88" s="81" t="s">
        <v>131</v>
      </c>
      <c r="B88" s="88"/>
      <c r="C88" s="81">
        <f>C25+C27+C30+C34+C35</f>
        <v>37208</v>
      </c>
      <c r="D88" s="81"/>
      <c r="E88" s="81"/>
      <c r="F88" s="81">
        <f>F25+F27+F30+F34+F35</f>
        <v>65100</v>
      </c>
      <c r="G88" s="81"/>
      <c r="H88" s="107">
        <f>I25+I27+I30+I34+I35</f>
        <v>47597.2</v>
      </c>
    </row>
    <row r="89" spans="1:8" ht="15.75" thickBot="1" x14ac:dyDescent="0.3">
      <c r="A89" s="83" t="s">
        <v>125</v>
      </c>
      <c r="B89" s="88"/>
      <c r="C89" s="85">
        <f>SUM(C79:C88)</f>
        <v>746113</v>
      </c>
      <c r="D89" s="81"/>
      <c r="E89" s="81"/>
      <c r="F89" s="85">
        <f>SUM(F79:F88)</f>
        <v>844072.76</v>
      </c>
      <c r="G89" s="81"/>
      <c r="H89" s="84">
        <f>SUM(H79:H88)</f>
        <v>881835.27</v>
      </c>
    </row>
    <row r="90" spans="1:8" ht="15.75" thickTop="1" x14ac:dyDescent="0.25">
      <c r="A90" s="81"/>
      <c r="B90" s="88"/>
      <c r="C90" s="81"/>
      <c r="D90" s="81"/>
      <c r="E90" s="81"/>
      <c r="F90" s="81"/>
      <c r="G90" s="81"/>
      <c r="H90" s="81"/>
    </row>
    <row r="91" spans="1:8" ht="15.75" thickBot="1" x14ac:dyDescent="0.3">
      <c r="A91" s="81" t="s">
        <v>126</v>
      </c>
      <c r="B91" s="88"/>
      <c r="C91" s="85">
        <f>C89+C76</f>
        <v>-112427</v>
      </c>
      <c r="D91" s="81"/>
      <c r="E91" s="81"/>
      <c r="F91" s="85">
        <f>F89+F76</f>
        <v>43471.760000000009</v>
      </c>
      <c r="G91" s="81"/>
      <c r="H91" s="84">
        <f>H76+H89</f>
        <v>60817.400000000023</v>
      </c>
    </row>
    <row r="92" spans="1:8" ht="15.75" thickTop="1" x14ac:dyDescent="0.25">
      <c r="A92" s="81"/>
      <c r="B92" s="88"/>
      <c r="C92" s="83"/>
      <c r="D92" s="81"/>
      <c r="E92" s="81"/>
      <c r="F92" s="83"/>
      <c r="G92" s="81"/>
      <c r="H92" s="81"/>
    </row>
    <row r="93" spans="1:8" x14ac:dyDescent="0.25">
      <c r="A93" s="81"/>
      <c r="B93" s="88"/>
      <c r="C93" s="81"/>
      <c r="D93" s="81"/>
      <c r="E93" s="81"/>
      <c r="F93" s="81"/>
      <c r="G93" s="81"/>
      <c r="H93" s="81"/>
    </row>
    <row r="94" spans="1:8" x14ac:dyDescent="0.25">
      <c r="A94" s="81" t="s">
        <v>127</v>
      </c>
      <c r="B94" s="88"/>
      <c r="C94" s="81">
        <f>C66+C76+C89</f>
        <v>-286777</v>
      </c>
      <c r="D94" s="81"/>
      <c r="E94" s="81"/>
      <c r="F94" s="81">
        <f>F66+F76+F89</f>
        <v>-130878.23999999999</v>
      </c>
      <c r="G94" s="81"/>
      <c r="H94" s="81">
        <f>H66+H91</f>
        <v>-113532.59999999998</v>
      </c>
    </row>
    <row r="95" spans="1:8" x14ac:dyDescent="0.25">
      <c r="A95" s="81" t="s">
        <v>128</v>
      </c>
      <c r="B95" s="88"/>
      <c r="C95" s="86">
        <f>C94/C76</f>
        <v>0.33402869988585271</v>
      </c>
      <c r="D95" s="81"/>
      <c r="E95" s="81"/>
      <c r="F95" s="86">
        <f>F94/F76</f>
        <v>0.16347498941420258</v>
      </c>
      <c r="G95" s="81"/>
      <c r="H95" s="108">
        <f>H94/H76</f>
        <v>0.13828273920517709</v>
      </c>
    </row>
    <row r="96" spans="1:8" x14ac:dyDescent="0.25">
      <c r="A96" s="81" t="s">
        <v>129</v>
      </c>
      <c r="B96" s="88"/>
      <c r="C96" s="86">
        <f>C94/C67</f>
        <v>0.48556809080919267</v>
      </c>
      <c r="D96" s="81"/>
      <c r="E96" s="81"/>
      <c r="F96" s="86">
        <f>F94/F67</f>
        <v>0.22160179207282071</v>
      </c>
      <c r="G96" s="81"/>
      <c r="H96" s="108">
        <f>H94/H70</f>
        <v>0.19223231928154538</v>
      </c>
    </row>
    <row r="97" spans="1:12" x14ac:dyDescent="0.25">
      <c r="A97" s="81"/>
      <c r="B97" s="88"/>
      <c r="C97" s="81"/>
      <c r="D97" s="81"/>
      <c r="E97" s="81"/>
      <c r="F97" s="81"/>
      <c r="G97" s="81"/>
      <c r="H97" s="81"/>
    </row>
    <row r="98" spans="1:12" x14ac:dyDescent="0.25">
      <c r="A98" s="81"/>
      <c r="B98" s="88"/>
      <c r="C98" s="81"/>
      <c r="D98" s="81"/>
      <c r="E98" s="81"/>
      <c r="F98" s="81"/>
      <c r="G98" s="81"/>
      <c r="H98" s="81"/>
    </row>
    <row r="99" spans="1:12" x14ac:dyDescent="0.25">
      <c r="A99" s="81" t="s">
        <v>130</v>
      </c>
      <c r="B99" s="88"/>
      <c r="C99" s="87">
        <f>C62</f>
        <v>32.5</v>
      </c>
      <c r="D99" s="81"/>
      <c r="E99" s="81"/>
      <c r="F99" s="87">
        <f>C99</f>
        <v>32.5</v>
      </c>
      <c r="G99" s="81"/>
      <c r="H99" s="87">
        <f>C62</f>
        <v>32.5</v>
      </c>
    </row>
    <row r="100" spans="1:12" x14ac:dyDescent="0.25">
      <c r="A100" s="81" t="s">
        <v>133</v>
      </c>
      <c r="B100" s="88"/>
      <c r="C100" s="81">
        <f>-F7/C99</f>
        <v>18172.33846153846</v>
      </c>
      <c r="D100" s="81"/>
      <c r="E100" s="81"/>
      <c r="F100" s="81">
        <f>C100</f>
        <v>18172.33846153846</v>
      </c>
      <c r="G100" s="81"/>
      <c r="H100" s="81">
        <f>-H70/H99</f>
        <v>18172.33846153846</v>
      </c>
    </row>
    <row r="101" spans="1:12" x14ac:dyDescent="0.25">
      <c r="A101" s="109" t="s">
        <v>140</v>
      </c>
      <c r="B101" s="109"/>
      <c r="C101" s="34">
        <f>C89/C99</f>
        <v>22957.323076923076</v>
      </c>
      <c r="D101" s="34"/>
      <c r="E101" s="34"/>
      <c r="F101" s="34">
        <f>F89/F99</f>
        <v>25971.469538461537</v>
      </c>
      <c r="G101" s="34"/>
      <c r="H101" s="36">
        <f>H89/H99</f>
        <v>27133.392923076924</v>
      </c>
      <c r="I101" s="4"/>
      <c r="K101"/>
      <c r="L101" s="4"/>
    </row>
  </sheetData>
  <mergeCells count="18">
    <mergeCell ref="G4:G5"/>
    <mergeCell ref="D1:E1"/>
    <mergeCell ref="C4:C5"/>
    <mergeCell ref="D4:D5"/>
    <mergeCell ref="E4:E5"/>
    <mergeCell ref="F4:F5"/>
    <mergeCell ref="L31:L36"/>
    <mergeCell ref="H4:H5"/>
    <mergeCell ref="I4:I5"/>
    <mergeCell ref="J4:J5"/>
    <mergeCell ref="K4:K5"/>
    <mergeCell ref="L11:W11"/>
    <mergeCell ref="L12:W12"/>
    <mergeCell ref="L14:W14"/>
    <mergeCell ref="L17:W17"/>
    <mergeCell ref="L18:W18"/>
    <mergeCell ref="L24:W24"/>
    <mergeCell ref="L30:W30"/>
  </mergeCells>
  <conditionalFormatting sqref="E45:F45">
    <cfRule type="cellIs" dxfId="368" priority="5" operator="lessThan">
      <formula>0</formula>
    </cfRule>
    <cfRule type="cellIs" dxfId="367" priority="6" operator="greaterThan">
      <formula>0</formula>
    </cfRule>
  </conditionalFormatting>
  <conditionalFormatting sqref="I45">
    <cfRule type="cellIs" dxfId="366" priority="3" operator="lessThan">
      <formula>0</formula>
    </cfRule>
    <cfRule type="cellIs" dxfId="365" priority="4" operator="greaterThan">
      <formula>0</formula>
    </cfRule>
  </conditionalFormatting>
  <conditionalFormatting sqref="I46 E46:F46">
    <cfRule type="cellIs" dxfId="364" priority="1" operator="lessThan">
      <formula>0</formula>
    </cfRule>
    <cfRule type="cellIs" dxfId="363" priority="2" operator="greaterThan">
      <formula>0</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64856-33CB-4793-BE7B-7C5C0EB0FD78}">
  <dimension ref="A1:V101"/>
  <sheetViews>
    <sheetView workbookViewId="0">
      <selection activeCell="E1" sqref="E1"/>
    </sheetView>
  </sheetViews>
  <sheetFormatPr defaultRowHeight="15" x14ac:dyDescent="0.25"/>
  <cols>
    <col min="1" max="1" width="44.42578125" style="1" customWidth="1"/>
    <col min="2" max="6" width="12.28515625" customWidth="1"/>
    <col min="7" max="7" width="12.28515625" style="4" customWidth="1"/>
    <col min="8" max="9" width="12.28515625" customWidth="1"/>
    <col min="10" max="10" width="12.28515625" style="4" customWidth="1"/>
    <col min="11" max="11" width="20.85546875" customWidth="1"/>
    <col min="12" max="12" width="12.5703125" customWidth="1"/>
    <col min="20" max="20" width="9.5703125" bestFit="1" customWidth="1"/>
  </cols>
  <sheetData>
    <row r="1" spans="1:22" ht="78.75" customHeight="1" x14ac:dyDescent="0.25">
      <c r="C1" s="100" t="s">
        <v>48</v>
      </c>
      <c r="D1" s="100"/>
      <c r="E1" s="19" t="s">
        <v>99</v>
      </c>
    </row>
    <row r="2" spans="1:22" x14ac:dyDescent="0.25">
      <c r="A2" s="1" t="s">
        <v>49</v>
      </c>
      <c r="B2" s="19" t="s">
        <v>135</v>
      </c>
      <c r="C2" s="19">
        <v>2022</v>
      </c>
      <c r="D2" t="s">
        <v>139</v>
      </c>
    </row>
    <row r="3" spans="1:22" x14ac:dyDescent="0.25">
      <c r="A3" s="26" t="s">
        <v>85</v>
      </c>
      <c r="B3" s="27"/>
      <c r="C3" s="27"/>
    </row>
    <row r="4" spans="1:22" ht="45" customHeight="1" x14ac:dyDescent="0.25">
      <c r="B4" s="101" t="s">
        <v>0</v>
      </c>
      <c r="C4" s="101" t="s">
        <v>1</v>
      </c>
      <c r="D4" s="101" t="s">
        <v>2</v>
      </c>
      <c r="E4" s="101" t="s">
        <v>3</v>
      </c>
      <c r="F4" s="101" t="s">
        <v>33</v>
      </c>
      <c r="G4" s="102" t="s">
        <v>35</v>
      </c>
      <c r="H4" s="101" t="s">
        <v>4</v>
      </c>
      <c r="I4" s="101" t="s">
        <v>5</v>
      </c>
      <c r="J4" s="102" t="s">
        <v>34</v>
      </c>
    </row>
    <row r="5" spans="1:22" x14ac:dyDescent="0.25">
      <c r="A5" s="1" t="s">
        <v>13</v>
      </c>
      <c r="B5" s="101"/>
      <c r="C5" s="101"/>
      <c r="D5" s="101"/>
      <c r="E5" s="101"/>
      <c r="F5" s="101"/>
      <c r="G5" s="102"/>
      <c r="H5" s="101"/>
      <c r="I5" s="101"/>
      <c r="J5" s="102"/>
      <c r="K5" s="20" t="s">
        <v>56</v>
      </c>
      <c r="L5" s="20"/>
      <c r="M5" s="20"/>
      <c r="N5" s="20"/>
      <c r="O5" s="20"/>
      <c r="P5" s="20"/>
      <c r="Q5" s="20"/>
      <c r="R5" s="20"/>
      <c r="S5" s="20"/>
      <c r="T5" s="20"/>
      <c r="U5" s="20"/>
      <c r="V5" s="20"/>
    </row>
    <row r="6" spans="1:22" x14ac:dyDescent="0.25">
      <c r="A6" s="1" t="s">
        <v>38</v>
      </c>
      <c r="B6" s="42">
        <f>HBEP!B6+LIP!B6+MSCIP!B6+NWLLIP!B6+SLIP!C6</f>
        <v>-1079738.6400000001</v>
      </c>
      <c r="C6" s="42">
        <f>HBEP!C6+LIP!C6+MSCIP!C6+NWLLIP!C6+SLIP!D6</f>
        <v>0</v>
      </c>
      <c r="D6" s="30">
        <f>B6+C6</f>
        <v>-1079738.6400000001</v>
      </c>
      <c r="E6" s="45">
        <f>HBEP!E6+LIP!E6+MSCIP!E6+NWLLIP!E6+SLIP!F6</f>
        <v>-1079738.6400000001</v>
      </c>
      <c r="F6" s="32">
        <f>E6-D6</f>
        <v>0</v>
      </c>
      <c r="G6" s="33">
        <f>D6/E6%</f>
        <v>100</v>
      </c>
      <c r="H6" s="94">
        <f>HBEP!H6+LIP!H6+MSCIP!H6+NWLLIP!H6+SLIP!I6</f>
        <v>-1079738.6400000001</v>
      </c>
      <c r="I6" s="35">
        <f>E6-H6</f>
        <v>0</v>
      </c>
      <c r="J6" s="36">
        <f>H6/E6%</f>
        <v>100</v>
      </c>
      <c r="K6" s="20" t="s">
        <v>54</v>
      </c>
      <c r="L6" s="20"/>
      <c r="M6" s="20"/>
      <c r="N6" s="20"/>
      <c r="O6" s="20"/>
      <c r="P6" s="20"/>
      <c r="Q6" s="20"/>
      <c r="R6" s="20"/>
      <c r="S6" s="20"/>
      <c r="T6" s="20"/>
      <c r="U6" s="20"/>
      <c r="V6" s="20"/>
    </row>
    <row r="7" spans="1:22" x14ac:dyDescent="0.25">
      <c r="A7" s="2" t="s">
        <v>6</v>
      </c>
      <c r="B7" s="42">
        <f>HBEP!B7+LIP!B7+MSCIP!B7+NWLLIP!B7+SLIP!C7</f>
        <v>-1927219</v>
      </c>
      <c r="C7" s="42">
        <f>HBEP!C7+LIP!C7+MSCIP!C7+NWLLIP!C7+SLIP!D7</f>
        <v>0</v>
      </c>
      <c r="D7" s="30">
        <f t="shared" ref="D7:D42" si="0">B7+C7</f>
        <v>-1927219</v>
      </c>
      <c r="E7" s="45">
        <f>HBEP!E7+LIP!E7+MSCIP!E7+NWLLIP!E7+SLIP!F7</f>
        <v>-1999803</v>
      </c>
      <c r="F7" s="32">
        <f t="shared" ref="F7:F42" si="1">E7-D7</f>
        <v>-72584</v>
      </c>
      <c r="G7" s="33">
        <f t="shared" ref="G7:G42" si="2">D7/E7%</f>
        <v>96.370442488585127</v>
      </c>
      <c r="H7" s="94">
        <f>HBEP!H7+LIP!H7+MSCIP!H7+NWLLIP!H7+SLIP!I7</f>
        <v>-2003654</v>
      </c>
      <c r="I7" s="35">
        <f t="shared" ref="I7:I42" si="3">E7-H7</f>
        <v>3851</v>
      </c>
      <c r="J7" s="36">
        <f t="shared" ref="J7:J42" si="4">H7/E7%</f>
        <v>100.19256896804336</v>
      </c>
      <c r="K7" s="20" t="s">
        <v>79</v>
      </c>
      <c r="L7" s="20"/>
      <c r="M7" s="20"/>
      <c r="N7" s="20"/>
      <c r="O7" s="20"/>
      <c r="P7" s="20"/>
      <c r="Q7" s="20"/>
      <c r="R7" s="20"/>
      <c r="S7" s="20"/>
      <c r="T7" s="20"/>
      <c r="U7" s="20"/>
      <c r="V7" s="20"/>
    </row>
    <row r="8" spans="1:22" x14ac:dyDescent="0.25">
      <c r="A8" s="2" t="s">
        <v>7</v>
      </c>
      <c r="B8" s="42">
        <f>HBEP!B8+LIP!B8+MSCIP!B8+NWLLIP!B8+SLIP!C8</f>
        <v>-226469.72999999998</v>
      </c>
      <c r="C8" s="42">
        <f>HBEP!C8+LIP!C8+MSCIP!C8+NWLLIP!C8+SLIP!D8</f>
        <v>0</v>
      </c>
      <c r="D8" s="30">
        <f t="shared" si="0"/>
        <v>-226469.72999999998</v>
      </c>
      <c r="E8" s="45">
        <f>HBEP!E8+LIP!E8+MSCIP!E8+NWLLIP!E8+SLIP!F8</f>
        <v>-297240</v>
      </c>
      <c r="F8" s="32">
        <f t="shared" si="1"/>
        <v>-70770.270000000019</v>
      </c>
      <c r="G8" s="33">
        <f t="shared" si="2"/>
        <v>76.19086596689543</v>
      </c>
      <c r="H8" s="94">
        <f>HBEP!H8+LIP!H8+MSCIP!H8+NWLLIP!H8+SLIP!I8</f>
        <v>-237662</v>
      </c>
      <c r="I8" s="35">
        <f t="shared" si="3"/>
        <v>-59578</v>
      </c>
      <c r="J8" s="36">
        <f t="shared" si="4"/>
        <v>79.956264298210201</v>
      </c>
      <c r="K8" s="20" t="s">
        <v>55</v>
      </c>
      <c r="L8" s="20"/>
      <c r="M8" s="20"/>
      <c r="N8" s="20"/>
      <c r="O8" s="20"/>
      <c r="P8" s="20"/>
      <c r="Q8" s="20"/>
      <c r="R8" s="20"/>
      <c r="S8" s="20"/>
      <c r="T8" s="20"/>
      <c r="U8" s="20"/>
      <c r="V8" s="20"/>
    </row>
    <row r="9" spans="1:22" x14ac:dyDescent="0.25">
      <c r="A9" s="2" t="s">
        <v>8</v>
      </c>
      <c r="B9" s="42">
        <f>HBEP!B9+LIP!B9+MSCIP!B9+NWLLIP!B9+SLIP!C9</f>
        <v>-30000</v>
      </c>
      <c r="C9" s="42">
        <f>HBEP!C9+LIP!C9+MSCIP!C9+NWLLIP!C9+SLIP!D9</f>
        <v>0</v>
      </c>
      <c r="D9" s="30">
        <f t="shared" si="0"/>
        <v>-30000</v>
      </c>
      <c r="E9" s="45">
        <f>HBEP!E9+LIP!E9+MSCIP!E9+NWLLIP!E9+SLIP!F9</f>
        <v>-30000</v>
      </c>
      <c r="F9" s="32">
        <f t="shared" si="1"/>
        <v>0</v>
      </c>
      <c r="G9" s="33">
        <f t="shared" si="2"/>
        <v>100</v>
      </c>
      <c r="H9" s="94">
        <f>HBEP!H9+LIP!H9+MSCIP!H9+NWLLIP!H9+SLIP!I9</f>
        <v>-3000</v>
      </c>
      <c r="I9" s="35">
        <f t="shared" si="3"/>
        <v>-27000</v>
      </c>
      <c r="J9" s="36">
        <f t="shared" si="4"/>
        <v>10</v>
      </c>
      <c r="K9" s="20"/>
      <c r="L9" s="20"/>
      <c r="M9" s="20"/>
      <c r="N9" s="20"/>
      <c r="O9" s="20"/>
      <c r="P9" s="20"/>
      <c r="Q9" s="20"/>
      <c r="R9" s="20"/>
      <c r="S9" s="20"/>
      <c r="T9" s="20"/>
      <c r="U9" s="20"/>
      <c r="V9" s="20"/>
    </row>
    <row r="10" spans="1:22" x14ac:dyDescent="0.25">
      <c r="A10" s="2" t="s">
        <v>9</v>
      </c>
      <c r="B10" s="42">
        <f>HBEP!B10+LIP!B10+MSCIP!B10+NWLLIP!B10+SLIP!C10</f>
        <v>-30435</v>
      </c>
      <c r="C10" s="42">
        <f>HBEP!C10+LIP!C10+MSCIP!C10+NWLLIP!C10+SLIP!D10</f>
        <v>0</v>
      </c>
      <c r="D10" s="30">
        <f t="shared" si="0"/>
        <v>-30435</v>
      </c>
      <c r="E10" s="45">
        <f>HBEP!E10+LIP!E10+MSCIP!E10+NWLLIP!E10+SLIP!F10</f>
        <v>-30435</v>
      </c>
      <c r="F10" s="32">
        <f t="shared" si="1"/>
        <v>0</v>
      </c>
      <c r="G10" s="33">
        <f t="shared" si="2"/>
        <v>99.999999999999986</v>
      </c>
      <c r="H10" s="94">
        <f>HBEP!H10+LIP!H10+MSCIP!H10+NWLLIP!H10+SLIP!I10</f>
        <v>-30435</v>
      </c>
      <c r="I10" s="35">
        <f t="shared" si="3"/>
        <v>0</v>
      </c>
      <c r="J10" s="36">
        <f t="shared" si="4"/>
        <v>99.999999999999986</v>
      </c>
      <c r="K10" s="20" t="s">
        <v>65</v>
      </c>
      <c r="L10" s="20"/>
      <c r="M10" s="20"/>
      <c r="N10" s="20"/>
      <c r="O10" s="20"/>
      <c r="P10" s="20"/>
      <c r="Q10" s="20"/>
      <c r="R10" s="20"/>
      <c r="S10" s="20"/>
      <c r="T10" s="20"/>
      <c r="U10" s="20"/>
      <c r="V10" s="20"/>
    </row>
    <row r="11" spans="1:22" ht="30" x14ac:dyDescent="0.25">
      <c r="A11" s="2" t="s">
        <v>10</v>
      </c>
      <c r="B11" s="42">
        <f>HBEP!B11+LIP!B11+MSCIP!B11+NWLLIP!B11+SLIP!C11</f>
        <v>-625296.31000000006</v>
      </c>
      <c r="C11" s="42">
        <f>HBEP!C11+LIP!C11+MSCIP!C11+NWLLIP!C11+SLIP!D11</f>
        <v>-10138</v>
      </c>
      <c r="D11" s="30">
        <f t="shared" si="0"/>
        <v>-635434.31000000006</v>
      </c>
      <c r="E11" s="45">
        <f>HBEP!E11+LIP!E11+MSCIP!E11+NWLLIP!E11+SLIP!F11</f>
        <v>-645799.39</v>
      </c>
      <c r="F11" s="32">
        <f t="shared" si="1"/>
        <v>-10365.079999999958</v>
      </c>
      <c r="G11" s="33">
        <f t="shared" si="2"/>
        <v>98.395000032440421</v>
      </c>
      <c r="H11" s="94">
        <f>HBEP!H11+LIP!H11+MSCIP!H11+NWLLIP!H11+SLIP!I11</f>
        <v>-770769.3</v>
      </c>
      <c r="I11" s="35">
        <f t="shared" si="3"/>
        <v>124969.91000000003</v>
      </c>
      <c r="J11" s="36">
        <f t="shared" si="4"/>
        <v>119.3511966618612</v>
      </c>
      <c r="K11" s="103" t="s">
        <v>80</v>
      </c>
      <c r="L11" s="103"/>
      <c r="M11" s="103"/>
      <c r="N11" s="103"/>
      <c r="O11" s="103"/>
      <c r="P11" s="103"/>
      <c r="Q11" s="103"/>
      <c r="R11" s="103"/>
      <c r="S11" s="103"/>
      <c r="T11" s="103"/>
      <c r="U11" s="103"/>
      <c r="V11" s="103"/>
    </row>
    <row r="12" spans="1:22" ht="30" x14ac:dyDescent="0.25">
      <c r="A12" s="2" t="s">
        <v>11</v>
      </c>
      <c r="B12" s="42">
        <f>HBEP!B12+LIP!B12+MSCIP!B12+NWLLIP!B12+SLIP!C12</f>
        <v>-26499.67</v>
      </c>
      <c r="C12" s="42">
        <f>HBEP!C12+LIP!C12+MSCIP!C12+NWLLIP!C12+SLIP!D12</f>
        <v>-7995</v>
      </c>
      <c r="D12" s="30">
        <f t="shared" si="0"/>
        <v>-34494.67</v>
      </c>
      <c r="E12" s="45">
        <f>HBEP!E12+LIP!E12+MSCIP!E12+NWLLIP!E12+SLIP!F12</f>
        <v>-41339.339999999997</v>
      </c>
      <c r="F12" s="32">
        <f t="shared" si="1"/>
        <v>-6844.6699999999983</v>
      </c>
      <c r="G12" s="33">
        <f t="shared" si="2"/>
        <v>83.442720662690789</v>
      </c>
      <c r="H12" s="94">
        <f>HBEP!H12+LIP!H12+MSCIP!H12+NWLLIP!H12+SLIP!I12</f>
        <v>-35706.57</v>
      </c>
      <c r="I12" s="35">
        <f t="shared" si="3"/>
        <v>-5632.7699999999968</v>
      </c>
      <c r="J12" s="36">
        <f t="shared" si="4"/>
        <v>86.374310765483926</v>
      </c>
      <c r="K12" s="103" t="s">
        <v>81</v>
      </c>
      <c r="L12" s="103"/>
      <c r="M12" s="103"/>
      <c r="N12" s="103"/>
      <c r="O12" s="103"/>
      <c r="P12" s="103"/>
      <c r="Q12" s="103"/>
      <c r="R12" s="103"/>
      <c r="S12" s="103"/>
      <c r="T12" s="103"/>
      <c r="U12" s="103"/>
      <c r="V12" s="103"/>
    </row>
    <row r="13" spans="1:22" x14ac:dyDescent="0.25">
      <c r="A13" s="2"/>
      <c r="B13" s="14"/>
      <c r="C13" s="14"/>
      <c r="D13" s="30"/>
      <c r="E13" s="22"/>
      <c r="F13" s="32"/>
      <c r="G13" s="33"/>
      <c r="H13" s="23"/>
      <c r="I13" s="35">
        <f t="shared" si="3"/>
        <v>0</v>
      </c>
      <c r="J13" s="36" t="e">
        <f t="shared" si="4"/>
        <v>#DIV/0!</v>
      </c>
      <c r="K13" s="20"/>
      <c r="L13" s="20"/>
      <c r="M13" s="20"/>
      <c r="N13" s="20"/>
      <c r="O13" s="20"/>
      <c r="P13" s="20"/>
      <c r="Q13" s="20"/>
      <c r="R13" s="20"/>
      <c r="S13" s="20"/>
      <c r="T13" s="20"/>
      <c r="U13" s="20"/>
      <c r="V13" s="20"/>
    </row>
    <row r="14" spans="1:22" x14ac:dyDescent="0.25">
      <c r="A14" s="12" t="s">
        <v>53</v>
      </c>
      <c r="B14" s="9"/>
      <c r="C14" s="9"/>
      <c r="D14" s="15">
        <f>SUM(D7:D13)</f>
        <v>-2884052.71</v>
      </c>
      <c r="E14" s="15">
        <f>SUM(E7:E13)</f>
        <v>-3044616.73</v>
      </c>
      <c r="F14" s="9">
        <f t="shared" si="1"/>
        <v>-160564.02000000002</v>
      </c>
      <c r="G14" s="38">
        <f t="shared" si="2"/>
        <v>94.726297782644053</v>
      </c>
      <c r="H14" s="48">
        <f>SUM(H7:H13)</f>
        <v>-3081226.8699999996</v>
      </c>
      <c r="I14" s="9">
        <f t="shared" si="3"/>
        <v>36610.139999999665</v>
      </c>
      <c r="J14" s="38">
        <f t="shared" si="4"/>
        <v>101.20245479962266</v>
      </c>
      <c r="K14" s="104" t="s">
        <v>57</v>
      </c>
      <c r="L14" s="104"/>
      <c r="M14" s="104"/>
      <c r="N14" s="104"/>
      <c r="O14" s="104"/>
      <c r="P14" s="104"/>
      <c r="Q14" s="104"/>
      <c r="R14" s="104"/>
      <c r="S14" s="104"/>
      <c r="T14" s="104"/>
      <c r="U14" s="104"/>
      <c r="V14" s="104"/>
    </row>
    <row r="15" spans="1:22" x14ac:dyDescent="0.25">
      <c r="A15" s="13" t="s">
        <v>58</v>
      </c>
      <c r="B15" s="9">
        <f>SUM(B6:B13)</f>
        <v>-3945658.35</v>
      </c>
      <c r="C15" s="9">
        <f>SUM(C6:C13)</f>
        <v>-18133</v>
      </c>
      <c r="D15" s="9">
        <f t="shared" si="0"/>
        <v>-3963791.35</v>
      </c>
      <c r="E15" s="15">
        <f>SUM(E6:E13)</f>
        <v>-4124355.37</v>
      </c>
      <c r="F15" s="9">
        <f t="shared" si="1"/>
        <v>-160564.02000000002</v>
      </c>
      <c r="G15" s="38">
        <f t="shared" si="2"/>
        <v>96.106930523787526</v>
      </c>
      <c r="H15" s="48">
        <f>H6+H14</f>
        <v>-4160965.51</v>
      </c>
      <c r="I15" s="9">
        <f t="shared" si="3"/>
        <v>36610.139999999665</v>
      </c>
      <c r="J15" s="38">
        <f t="shared" si="4"/>
        <v>100.88765726315188</v>
      </c>
      <c r="K15" s="20" t="s">
        <v>59</v>
      </c>
      <c r="L15" s="20"/>
      <c r="M15" s="20"/>
      <c r="N15" s="20"/>
      <c r="O15" s="20"/>
      <c r="P15" s="20"/>
      <c r="Q15" s="20"/>
      <c r="R15" s="20"/>
      <c r="S15" s="20"/>
      <c r="T15" s="20"/>
      <c r="U15" s="20"/>
      <c r="V15" s="20"/>
    </row>
    <row r="16" spans="1:22" x14ac:dyDescent="0.25">
      <c r="A16" s="5"/>
      <c r="B16" s="7"/>
      <c r="C16" s="7"/>
      <c r="D16" s="7"/>
      <c r="E16" s="16"/>
      <c r="F16" s="7"/>
      <c r="G16" s="37"/>
      <c r="H16" s="16"/>
      <c r="I16" s="7"/>
      <c r="J16" s="37"/>
      <c r="K16" s="20"/>
      <c r="L16" s="20"/>
      <c r="M16" s="20"/>
      <c r="N16" s="20"/>
      <c r="O16" s="20"/>
      <c r="P16" s="20"/>
      <c r="Q16" s="20"/>
      <c r="R16" s="20"/>
      <c r="S16" s="20"/>
      <c r="T16" s="20"/>
      <c r="U16" s="20"/>
      <c r="V16" s="20"/>
    </row>
    <row r="17" spans="1:22" x14ac:dyDescent="0.25">
      <c r="A17" s="2" t="s">
        <v>72</v>
      </c>
      <c r="B17" s="42">
        <f>HBEP!B17+LIP!B17+MSCIP!B17+NWLLIP!B17+SLIP!C17</f>
        <v>20153.29</v>
      </c>
      <c r="C17" s="42">
        <f>HBEP!C17+LIP!C17+MSCIP!C17+NWLLIP!C17+SLIP!D17</f>
        <v>9100</v>
      </c>
      <c r="D17" s="30">
        <f t="shared" si="0"/>
        <v>29253.29</v>
      </c>
      <c r="E17" s="45">
        <f>HBEP!E17+LIP!E17+MSCIP!E17+NWLLIP!E17+SLIP!F17</f>
        <v>77363.839999999997</v>
      </c>
      <c r="F17" s="32">
        <f t="shared" si="1"/>
        <v>48110.549999999996</v>
      </c>
      <c r="G17" s="33">
        <f t="shared" si="2"/>
        <v>37.812613748231733</v>
      </c>
      <c r="H17" s="94">
        <f>HBEP!H17+LIP!H17+MSCIP!H17+NWLLIP!H17+SLIP!I17</f>
        <v>77363.839999999997</v>
      </c>
      <c r="I17" s="35">
        <f t="shared" si="3"/>
        <v>0</v>
      </c>
      <c r="J17" s="36">
        <f t="shared" si="4"/>
        <v>100</v>
      </c>
      <c r="K17" s="104" t="s">
        <v>60</v>
      </c>
      <c r="L17" s="104"/>
      <c r="M17" s="104"/>
      <c r="N17" s="104"/>
      <c r="O17" s="104"/>
      <c r="P17" s="104"/>
      <c r="Q17" s="104"/>
      <c r="R17" s="104"/>
      <c r="S17" s="104"/>
      <c r="T17" s="104"/>
      <c r="U17" s="104"/>
      <c r="V17" s="104"/>
    </row>
    <row r="18" spans="1:22" x14ac:dyDescent="0.25">
      <c r="A18" s="2" t="s">
        <v>73</v>
      </c>
      <c r="B18" s="42">
        <f>HBEP!B18+LIP!B18+MSCIP!B18+NWLLIP!B18+SLIP!C18</f>
        <v>8344</v>
      </c>
      <c r="C18" s="42">
        <f>HBEP!C18+LIP!C18+MSCIP!C18+NWLLIP!C18+SLIP!D18</f>
        <v>1192</v>
      </c>
      <c r="D18" s="30">
        <f t="shared" si="0"/>
        <v>9536</v>
      </c>
      <c r="E18" s="45">
        <f>HBEP!E18+LIP!E18+MSCIP!E18+NWLLIP!E18+SLIP!F18</f>
        <v>25415</v>
      </c>
      <c r="F18" s="32">
        <f t="shared" si="1"/>
        <v>15879</v>
      </c>
      <c r="G18" s="33">
        <f t="shared" si="2"/>
        <v>37.521148927798542</v>
      </c>
      <c r="H18" s="94">
        <f>HBEP!H18+LIP!H18+MSCIP!H18+NWLLIP!H18+SLIP!I18</f>
        <v>25491</v>
      </c>
      <c r="I18" s="35">
        <f t="shared" si="3"/>
        <v>-76</v>
      </c>
      <c r="J18" s="36">
        <f t="shared" si="4"/>
        <v>100.29903600236081</v>
      </c>
      <c r="K18" s="104" t="s">
        <v>50</v>
      </c>
      <c r="L18" s="104"/>
      <c r="M18" s="104"/>
      <c r="N18" s="104"/>
      <c r="O18" s="104"/>
      <c r="P18" s="104"/>
      <c r="Q18" s="104"/>
      <c r="R18" s="104"/>
      <c r="S18" s="104"/>
      <c r="T18" s="104"/>
      <c r="U18" s="104"/>
      <c r="V18" s="104"/>
    </row>
    <row r="19" spans="1:22" x14ac:dyDescent="0.25">
      <c r="A19" s="5" t="s">
        <v>14</v>
      </c>
      <c r="B19" s="61"/>
      <c r="C19" s="61"/>
      <c r="D19" s="62"/>
      <c r="E19" s="61"/>
      <c r="F19" s="7"/>
      <c r="G19" s="37"/>
      <c r="H19" s="61"/>
      <c r="I19" s="7"/>
      <c r="J19" s="37"/>
      <c r="K19" s="20"/>
      <c r="L19" s="20"/>
      <c r="M19" s="20"/>
      <c r="N19" s="20"/>
      <c r="O19" s="20"/>
      <c r="P19" s="20"/>
      <c r="Q19" s="20"/>
      <c r="R19" s="20"/>
      <c r="S19" s="20"/>
      <c r="T19" s="20"/>
      <c r="U19" s="20"/>
      <c r="V19" s="20"/>
    </row>
    <row r="20" spans="1:22" x14ac:dyDescent="0.25">
      <c r="A20" s="2" t="s">
        <v>15</v>
      </c>
      <c r="B20" s="42">
        <f>HBEP!B20+LIP!B20+MSCIP!B20+NWLLIP!B20+SLIP!C20</f>
        <v>756433.14</v>
      </c>
      <c r="C20" s="42">
        <f>HBEP!C20+LIP!C20+MSCIP!C20+NWLLIP!C20+SLIP!D20</f>
        <v>7812</v>
      </c>
      <c r="D20" s="30">
        <f t="shared" si="0"/>
        <v>764245.14</v>
      </c>
      <c r="E20" s="45">
        <f>HBEP!E20+LIP!E20+MSCIP!E20+NWLLIP!E20+SLIP!F20</f>
        <v>991159.15</v>
      </c>
      <c r="F20" s="32">
        <f t="shared" si="1"/>
        <v>226914.01</v>
      </c>
      <c r="G20" s="33">
        <f t="shared" si="2"/>
        <v>77.106198333537051</v>
      </c>
      <c r="H20" s="94">
        <f>HBEP!H20+LIP!H20+MSCIP!H20+NWLLIP!H20+SLIP!I20</f>
        <v>951618.84000000008</v>
      </c>
      <c r="I20" s="35">
        <f t="shared" si="3"/>
        <v>39540.309999999939</v>
      </c>
      <c r="J20" s="36">
        <f t="shared" si="4"/>
        <v>96.01070019885303</v>
      </c>
      <c r="K20" s="20" t="s">
        <v>61</v>
      </c>
      <c r="L20" s="20"/>
      <c r="M20" s="20"/>
      <c r="N20" s="20"/>
      <c r="O20" s="20"/>
      <c r="P20" s="20"/>
      <c r="Q20" s="20"/>
      <c r="R20" s="20"/>
      <c r="S20" s="20"/>
      <c r="T20" s="20"/>
      <c r="U20" s="20"/>
      <c r="V20" s="20"/>
    </row>
    <row r="21" spans="1:22" x14ac:dyDescent="0.25">
      <c r="A21" s="2" t="s">
        <v>16</v>
      </c>
      <c r="B21" s="42">
        <f>HBEP!B21+LIP!B21+MSCIP!B21+NWLLIP!B21+SLIP!C21</f>
        <v>272992.19999999995</v>
      </c>
      <c r="C21" s="42">
        <f>HBEP!C21+LIP!C21+MSCIP!C21+NWLLIP!C21+SLIP!D21</f>
        <v>33118</v>
      </c>
      <c r="D21" s="30">
        <f t="shared" si="0"/>
        <v>306110.19999999995</v>
      </c>
      <c r="E21" s="45">
        <f>HBEP!E21+LIP!E21+MSCIP!E21+NWLLIP!E21+SLIP!F21</f>
        <v>386774.32</v>
      </c>
      <c r="F21" s="32">
        <f t="shared" si="1"/>
        <v>80664.120000000054</v>
      </c>
      <c r="G21" s="33">
        <f t="shared" si="2"/>
        <v>79.144396142949702</v>
      </c>
      <c r="H21" s="94">
        <f>HBEP!H21+LIP!H21+MSCIP!H21+NWLLIP!H21+SLIP!I21</f>
        <v>356653.91000000003</v>
      </c>
      <c r="I21" s="35">
        <f t="shared" si="3"/>
        <v>30120.409999999974</v>
      </c>
      <c r="J21" s="36">
        <f t="shared" si="4"/>
        <v>92.212406966419081</v>
      </c>
      <c r="K21" s="20" t="s">
        <v>61</v>
      </c>
      <c r="L21" s="20"/>
      <c r="M21" s="20"/>
      <c r="N21" s="20"/>
      <c r="O21" s="20"/>
      <c r="P21" s="20"/>
      <c r="Q21" s="20"/>
      <c r="R21" s="20"/>
      <c r="S21" s="20"/>
      <c r="T21" s="20"/>
      <c r="U21" s="20" t="s">
        <v>99</v>
      </c>
      <c r="V21" s="20"/>
    </row>
    <row r="22" spans="1:22" x14ac:dyDescent="0.25">
      <c r="A22" s="2" t="s">
        <v>17</v>
      </c>
      <c r="B22" s="42">
        <f>HBEP!B22+LIP!B22+MSCIP!B22+NWLLIP!B22+SLIP!C22</f>
        <v>8968.58</v>
      </c>
      <c r="C22" s="42">
        <f>HBEP!C22+LIP!C22+MSCIP!C22+NWLLIP!C22+SLIP!D22</f>
        <v>0</v>
      </c>
      <c r="D22" s="30">
        <f t="shared" si="0"/>
        <v>8968.58</v>
      </c>
      <c r="E22" s="45">
        <f>HBEP!E22+LIP!E22+MSCIP!E22+NWLLIP!E22+SLIP!F22</f>
        <v>11941</v>
      </c>
      <c r="F22" s="32">
        <f t="shared" si="1"/>
        <v>2972.42</v>
      </c>
      <c r="G22" s="33">
        <f t="shared" si="2"/>
        <v>75.107444937609912</v>
      </c>
      <c r="H22" s="94">
        <f>HBEP!H22+LIP!H22+MSCIP!H22+NWLLIP!H22+SLIP!I22</f>
        <v>13941</v>
      </c>
      <c r="I22" s="35">
        <f t="shared" si="3"/>
        <v>-2000</v>
      </c>
      <c r="J22" s="36">
        <f t="shared" si="4"/>
        <v>116.74901599531027</v>
      </c>
      <c r="K22" s="20"/>
      <c r="L22" s="20"/>
      <c r="M22" s="20"/>
      <c r="N22" s="20"/>
      <c r="O22" s="20"/>
      <c r="P22" s="20"/>
      <c r="Q22" s="20"/>
      <c r="R22" s="20"/>
      <c r="S22" s="20"/>
      <c r="T22" s="20"/>
      <c r="U22" s="20"/>
      <c r="V22" s="20"/>
    </row>
    <row r="23" spans="1:22" x14ac:dyDescent="0.25">
      <c r="A23" s="5" t="s">
        <v>82</v>
      </c>
      <c r="B23" s="61"/>
      <c r="C23" s="61"/>
      <c r="D23" s="62"/>
      <c r="E23" s="61"/>
      <c r="F23" s="7"/>
      <c r="G23" s="37"/>
      <c r="H23" s="61"/>
      <c r="I23" s="7"/>
      <c r="J23" s="37"/>
      <c r="K23" s="20"/>
      <c r="L23" s="20"/>
      <c r="M23" s="20"/>
      <c r="N23" s="20"/>
      <c r="O23" s="20"/>
      <c r="P23" s="20"/>
      <c r="Q23" s="20"/>
      <c r="R23" s="20"/>
      <c r="S23" s="20"/>
      <c r="T23" s="20"/>
      <c r="U23" s="20"/>
      <c r="V23" s="20"/>
    </row>
    <row r="24" spans="1:22" ht="30" x14ac:dyDescent="0.25">
      <c r="A24" s="2" t="s">
        <v>39</v>
      </c>
      <c r="B24" s="42">
        <f>HBEP!B24+LIP!B24+MSCIP!B24+NWLLIP!B24+SLIP!C24</f>
        <v>16839.989999999998</v>
      </c>
      <c r="C24" s="42">
        <f>HBEP!C24+LIP!C24+MSCIP!C24+NWLLIP!C24+SLIP!D24</f>
        <v>500</v>
      </c>
      <c r="D24" s="30">
        <f t="shared" si="0"/>
        <v>17339.989999999998</v>
      </c>
      <c r="E24" s="45">
        <f>HBEP!E24+LIP!E24+MSCIP!E24+NWLLIP!E24+SLIP!F24</f>
        <v>62340</v>
      </c>
      <c r="F24" s="32">
        <f t="shared" si="1"/>
        <v>45000.01</v>
      </c>
      <c r="G24" s="33">
        <f t="shared" si="2"/>
        <v>27.815190888675005</v>
      </c>
      <c r="H24" s="94">
        <f>HBEP!H24+LIP!H24+MSCIP!H24+NWLLIP!H24+SLIP!I24</f>
        <v>77340</v>
      </c>
      <c r="I24" s="35">
        <f t="shared" si="3"/>
        <v>-15000</v>
      </c>
      <c r="J24" s="36">
        <f t="shared" si="4"/>
        <v>124.06159769008663</v>
      </c>
      <c r="K24" s="103" t="s">
        <v>84</v>
      </c>
      <c r="L24" s="103"/>
      <c r="M24" s="103"/>
      <c r="N24" s="103"/>
      <c r="O24" s="103"/>
      <c r="P24" s="103"/>
      <c r="Q24" s="103"/>
      <c r="R24" s="103"/>
      <c r="S24" s="103"/>
      <c r="T24" s="103"/>
      <c r="U24" s="103"/>
      <c r="V24" s="103"/>
    </row>
    <row r="25" spans="1:22" x14ac:dyDescent="0.25">
      <c r="A25" s="2" t="s">
        <v>18</v>
      </c>
      <c r="B25" s="42">
        <f>HBEP!B25+LIP!B25+MSCIP!B25+NWLLIP!B25+SLIP!C25</f>
        <v>10102.49</v>
      </c>
      <c r="C25" s="42">
        <f>HBEP!C25+LIP!C25+MSCIP!C25+NWLLIP!C25+SLIP!D25</f>
        <v>133</v>
      </c>
      <c r="D25" s="30">
        <f t="shared" si="0"/>
        <v>10235.49</v>
      </c>
      <c r="E25" s="45">
        <f>HBEP!E25+LIP!E25+MSCIP!E25+NWLLIP!E25+SLIP!F25</f>
        <v>12643.26</v>
      </c>
      <c r="F25" s="32">
        <f t="shared" si="1"/>
        <v>2407.7700000000004</v>
      </c>
      <c r="G25" s="33">
        <f t="shared" si="2"/>
        <v>80.956098348052635</v>
      </c>
      <c r="H25" s="94">
        <f>HBEP!H25+LIP!H25+MSCIP!H25+NWLLIP!H25+SLIP!I25</f>
        <v>9385.76</v>
      </c>
      <c r="I25" s="35">
        <f t="shared" si="3"/>
        <v>3257.5</v>
      </c>
      <c r="J25" s="36">
        <f t="shared" si="4"/>
        <v>74.235284254219238</v>
      </c>
      <c r="K25" s="20" t="s">
        <v>62</v>
      </c>
      <c r="L25" s="20"/>
      <c r="M25" s="20"/>
      <c r="N25" s="20"/>
      <c r="O25" s="20"/>
      <c r="P25" s="20"/>
      <c r="Q25" s="20"/>
      <c r="R25" s="20"/>
      <c r="S25" s="20"/>
      <c r="T25" s="20"/>
      <c r="U25" s="20"/>
      <c r="V25" s="20"/>
    </row>
    <row r="26" spans="1:22" x14ac:dyDescent="0.25">
      <c r="A26" s="2" t="s">
        <v>19</v>
      </c>
      <c r="B26" s="42">
        <f>HBEP!B26+LIP!B26+MSCIP!B26+NWLLIP!B26+SLIP!C26</f>
        <v>5994.76</v>
      </c>
      <c r="C26" s="42">
        <f>HBEP!C26+LIP!C26+MSCIP!C26+NWLLIP!C26+SLIP!D26</f>
        <v>0</v>
      </c>
      <c r="D26" s="30">
        <f t="shared" si="0"/>
        <v>5994.76</v>
      </c>
      <c r="E26" s="45">
        <f>HBEP!E26+LIP!E26+MSCIP!E26+NWLLIP!E26+SLIP!F26</f>
        <v>21550</v>
      </c>
      <c r="F26" s="32">
        <f t="shared" si="1"/>
        <v>15555.24</v>
      </c>
      <c r="G26" s="33">
        <f t="shared" si="2"/>
        <v>27.817911832946638</v>
      </c>
      <c r="H26" s="94">
        <f>HBEP!H26+LIP!H26+MSCIP!H26+NWLLIP!H26+SLIP!I26</f>
        <v>11339.76</v>
      </c>
      <c r="I26" s="35">
        <f t="shared" si="3"/>
        <v>10210.24</v>
      </c>
      <c r="J26" s="36">
        <f t="shared" si="4"/>
        <v>52.620696055684455</v>
      </c>
      <c r="K26" s="20"/>
      <c r="L26" s="20"/>
      <c r="M26" s="20"/>
      <c r="N26" s="20"/>
      <c r="O26" s="20"/>
      <c r="P26" s="20"/>
      <c r="Q26" s="20"/>
      <c r="R26" s="20"/>
      <c r="S26" s="20"/>
      <c r="T26" s="20"/>
      <c r="U26" s="20"/>
      <c r="V26" s="20"/>
    </row>
    <row r="27" spans="1:22" x14ac:dyDescent="0.25">
      <c r="A27" s="2" t="s">
        <v>75</v>
      </c>
      <c r="B27" s="42">
        <f>HBEP!B27+LIP!B27+MSCIP!B27+NWLLIP!B27+SLIP!C27</f>
        <v>23804.11</v>
      </c>
      <c r="C27" s="42">
        <f>HBEP!C27+LIP!C27+MSCIP!C27+NWLLIP!C27+SLIP!D27</f>
        <v>21</v>
      </c>
      <c r="D27" s="30">
        <f t="shared" si="0"/>
        <v>23825.11</v>
      </c>
      <c r="E27" s="45">
        <f>HBEP!E27+LIP!E27+MSCIP!E27+NWLLIP!E27+SLIP!F27</f>
        <v>59200</v>
      </c>
      <c r="F27" s="32">
        <f t="shared" si="1"/>
        <v>35374.89</v>
      </c>
      <c r="G27" s="33">
        <f t="shared" si="2"/>
        <v>40.245118243243247</v>
      </c>
      <c r="H27" s="94">
        <f>HBEP!H27+LIP!H27+MSCIP!H27+NWLLIP!H27+SLIP!I27</f>
        <v>25000</v>
      </c>
      <c r="I27" s="35">
        <f t="shared" si="3"/>
        <v>34200</v>
      </c>
      <c r="J27" s="36">
        <f t="shared" si="4"/>
        <v>42.229729729729726</v>
      </c>
      <c r="K27" s="20" t="s">
        <v>83</v>
      </c>
      <c r="L27" s="20"/>
      <c r="M27" s="20"/>
      <c r="N27" s="20"/>
      <c r="O27" s="20"/>
      <c r="P27" s="20"/>
      <c r="Q27" s="20"/>
      <c r="R27" s="20"/>
      <c r="S27" s="20"/>
      <c r="T27" s="20"/>
      <c r="U27" s="20"/>
      <c r="V27" s="20"/>
    </row>
    <row r="28" spans="1:22" x14ac:dyDescent="0.25">
      <c r="A28" s="2" t="s">
        <v>12</v>
      </c>
      <c r="B28" s="42">
        <f>HBEP!B28+LIP!B28+MSCIP!B28+NWLLIP!B28+SLIP!C28</f>
        <v>11776.42</v>
      </c>
      <c r="C28" s="42">
        <f>HBEP!C28+LIP!C28+MSCIP!C28+NWLLIP!C28+SLIP!D28</f>
        <v>175</v>
      </c>
      <c r="D28" s="30">
        <f t="shared" si="0"/>
        <v>11951.42</v>
      </c>
      <c r="E28" s="45">
        <f>HBEP!E28+LIP!E28+MSCIP!E28+NWLLIP!E28+SLIP!F28</f>
        <v>39000</v>
      </c>
      <c r="F28" s="32">
        <f t="shared" si="1"/>
        <v>27048.58</v>
      </c>
      <c r="G28" s="33">
        <f t="shared" si="2"/>
        <v>30.644666666666666</v>
      </c>
      <c r="H28" s="94">
        <f>HBEP!H28+LIP!H28+MSCIP!H28+NWLLIP!H28+SLIP!I28</f>
        <v>38000</v>
      </c>
      <c r="I28" s="35">
        <f t="shared" si="3"/>
        <v>1000</v>
      </c>
      <c r="J28" s="36">
        <f t="shared" si="4"/>
        <v>97.435897435897431</v>
      </c>
      <c r="K28" s="20" t="s">
        <v>78</v>
      </c>
      <c r="L28" s="20"/>
      <c r="M28" s="20"/>
      <c r="N28" s="20"/>
      <c r="O28" s="20"/>
      <c r="P28" s="20"/>
      <c r="Q28" s="20"/>
      <c r="R28" s="20"/>
      <c r="S28" s="20"/>
      <c r="T28" s="20"/>
      <c r="U28" s="20"/>
      <c r="V28" s="20"/>
    </row>
    <row r="29" spans="1:22" x14ac:dyDescent="0.25">
      <c r="A29" s="5" t="s">
        <v>30</v>
      </c>
      <c r="B29" s="61"/>
      <c r="C29" s="61"/>
      <c r="D29" s="62"/>
      <c r="E29" s="61"/>
      <c r="F29" s="7"/>
      <c r="G29" s="37"/>
      <c r="H29" s="61"/>
      <c r="I29" s="7"/>
      <c r="J29" s="37"/>
      <c r="K29" s="20"/>
      <c r="L29" s="20"/>
      <c r="M29" s="20"/>
      <c r="N29" s="20"/>
      <c r="O29" s="20"/>
      <c r="P29" s="20"/>
      <c r="Q29" s="20"/>
      <c r="R29" s="20"/>
      <c r="S29" s="20"/>
      <c r="T29" s="20"/>
      <c r="U29" s="20"/>
      <c r="V29" s="20"/>
    </row>
    <row r="30" spans="1:22" ht="60" x14ac:dyDescent="0.25">
      <c r="A30" s="2" t="s">
        <v>20</v>
      </c>
      <c r="B30" s="42">
        <f>HBEP!B30+LIP!B30+MSCIP!B30+NWLLIP!B30+SLIP!C30</f>
        <v>36357.5</v>
      </c>
      <c r="C30" s="42">
        <f>HBEP!C30+LIP!C30+MSCIP!C30+NWLLIP!C30+SLIP!D30</f>
        <v>5263</v>
      </c>
      <c r="D30" s="30">
        <f t="shared" si="0"/>
        <v>41620.5</v>
      </c>
      <c r="E30" s="45">
        <f>HBEP!E30+LIP!E30+MSCIP!E30+NWLLIP!E30+SLIP!F30</f>
        <v>78500</v>
      </c>
      <c r="F30" s="32">
        <f t="shared" si="1"/>
        <v>36879.5</v>
      </c>
      <c r="G30" s="33">
        <f t="shared" si="2"/>
        <v>53.019745222929934</v>
      </c>
      <c r="H30" s="94">
        <f>HBEP!H30+LIP!H30+MSCIP!H30+NWLLIP!H30+SLIP!I30</f>
        <v>74500</v>
      </c>
      <c r="I30" s="35">
        <f t="shared" si="3"/>
        <v>4000</v>
      </c>
      <c r="J30" s="36">
        <f t="shared" si="4"/>
        <v>94.904458598726109</v>
      </c>
      <c r="K30" s="103" t="s">
        <v>63</v>
      </c>
      <c r="L30" s="103"/>
      <c r="M30" s="103"/>
      <c r="N30" s="103"/>
      <c r="O30" s="103"/>
      <c r="P30" s="103"/>
      <c r="Q30" s="103"/>
      <c r="R30" s="103"/>
      <c r="S30" s="103"/>
      <c r="T30" s="103"/>
      <c r="U30" s="103"/>
      <c r="V30" s="103"/>
    </row>
    <row r="31" spans="1:22" x14ac:dyDescent="0.25">
      <c r="A31" s="3" t="s">
        <v>21</v>
      </c>
      <c r="B31" s="42">
        <f>HBEP!B31+LIP!B31+MSCIP!B31+NWLLIP!B31+SLIP!C31</f>
        <v>1702.68</v>
      </c>
      <c r="C31" s="42">
        <f>HBEP!C31+LIP!C31+MSCIP!C31+NWLLIP!C31+SLIP!D31</f>
        <v>0</v>
      </c>
      <c r="D31" s="30">
        <f t="shared" si="0"/>
        <v>1702.68</v>
      </c>
      <c r="E31" s="45">
        <f>HBEP!E31+LIP!E31+MSCIP!E31+NWLLIP!E31+SLIP!F31</f>
        <v>12000</v>
      </c>
      <c r="F31" s="32">
        <f t="shared" si="1"/>
        <v>10297.32</v>
      </c>
      <c r="G31" s="33">
        <f t="shared" si="2"/>
        <v>14.189</v>
      </c>
      <c r="H31" s="94">
        <f>HBEP!H31+LIP!H31+MSCIP!H31+NWLLIP!H31+SLIP!I31</f>
        <v>1700</v>
      </c>
      <c r="I31" s="35">
        <f t="shared" si="3"/>
        <v>10300</v>
      </c>
      <c r="J31" s="36">
        <f t="shared" si="4"/>
        <v>14.166666666666666</v>
      </c>
      <c r="K31" s="103" t="s">
        <v>64</v>
      </c>
      <c r="L31" s="20"/>
      <c r="M31" s="20"/>
      <c r="N31" s="20"/>
      <c r="O31" s="20"/>
      <c r="P31" s="20"/>
      <c r="Q31" s="20"/>
      <c r="R31" s="20"/>
      <c r="S31" s="20"/>
      <c r="T31" s="20"/>
      <c r="U31" s="20"/>
      <c r="V31" s="20"/>
    </row>
    <row r="32" spans="1:22" x14ac:dyDescent="0.25">
      <c r="A32" s="3" t="s">
        <v>22</v>
      </c>
      <c r="B32" s="42">
        <f>HBEP!B32+LIP!B32+MSCIP!B32+NWLLIP!B32+SLIP!C32</f>
        <v>350.72</v>
      </c>
      <c r="C32" s="42">
        <f>HBEP!C32+LIP!C32+MSCIP!C32+NWLLIP!C32+SLIP!D32</f>
        <v>0</v>
      </c>
      <c r="D32" s="30">
        <f t="shared" si="0"/>
        <v>350.72</v>
      </c>
      <c r="E32" s="45">
        <f>HBEP!E32+LIP!E32+MSCIP!E32+NWLLIP!E32+SLIP!F32</f>
        <v>400</v>
      </c>
      <c r="F32" s="32">
        <f t="shared" si="1"/>
        <v>49.279999999999973</v>
      </c>
      <c r="G32" s="33">
        <f t="shared" si="2"/>
        <v>87.68</v>
      </c>
      <c r="H32" s="94">
        <f>HBEP!H32+LIP!H32+MSCIP!H32+NWLLIP!H32+SLIP!I32</f>
        <v>400</v>
      </c>
      <c r="I32" s="35">
        <f t="shared" si="3"/>
        <v>0</v>
      </c>
      <c r="J32" s="36">
        <f t="shared" si="4"/>
        <v>100</v>
      </c>
      <c r="K32" s="103"/>
      <c r="L32" s="20"/>
      <c r="M32" s="20"/>
      <c r="N32" s="20"/>
      <c r="O32" s="20"/>
      <c r="P32" s="20"/>
      <c r="Q32" s="20"/>
      <c r="R32" s="20"/>
      <c r="S32" s="20"/>
      <c r="T32" s="20"/>
      <c r="U32" s="20"/>
      <c r="V32" s="20"/>
    </row>
    <row r="33" spans="1:22" x14ac:dyDescent="0.25">
      <c r="A33" s="3" t="s">
        <v>23</v>
      </c>
      <c r="B33" s="42">
        <f>HBEP!B33+LIP!B33+MSCIP!B33+NWLLIP!B33+SLIP!C33</f>
        <v>4404</v>
      </c>
      <c r="C33" s="42">
        <f>HBEP!C33+LIP!C33+MSCIP!C33+NWLLIP!C33+SLIP!D33</f>
        <v>0</v>
      </c>
      <c r="D33" s="30">
        <f t="shared" si="0"/>
        <v>4404</v>
      </c>
      <c r="E33" s="45">
        <f>HBEP!E33+LIP!E33+MSCIP!E33+NWLLIP!E33+SLIP!F33</f>
        <v>15000</v>
      </c>
      <c r="F33" s="32">
        <f t="shared" si="1"/>
        <v>10596</v>
      </c>
      <c r="G33" s="33">
        <f t="shared" si="2"/>
        <v>29.36</v>
      </c>
      <c r="H33" s="94">
        <f>HBEP!H33+LIP!H33+MSCIP!H33+NWLLIP!H33+SLIP!I33</f>
        <v>10000</v>
      </c>
      <c r="I33" s="35">
        <f t="shared" si="3"/>
        <v>5000</v>
      </c>
      <c r="J33" s="36">
        <f t="shared" si="4"/>
        <v>66.666666666666671</v>
      </c>
      <c r="K33" s="103"/>
      <c r="L33" s="20"/>
      <c r="M33" s="20"/>
      <c r="N33" s="20"/>
      <c r="O33" s="20"/>
      <c r="P33" s="20"/>
      <c r="Q33" s="20"/>
      <c r="R33" s="20"/>
      <c r="S33" s="20"/>
      <c r="T33" s="20"/>
      <c r="U33" s="20"/>
      <c r="V33" s="20"/>
    </row>
    <row r="34" spans="1:22" x14ac:dyDescent="0.25">
      <c r="A34" s="3" t="s">
        <v>24</v>
      </c>
      <c r="B34" s="42">
        <f>HBEP!B34+LIP!B34+MSCIP!B34+NWLLIP!B34+SLIP!C34</f>
        <v>13687.529999999999</v>
      </c>
      <c r="C34" s="42">
        <f>HBEP!C34+LIP!C34+MSCIP!C34+NWLLIP!C34+SLIP!D34</f>
        <v>0</v>
      </c>
      <c r="D34" s="30">
        <f t="shared" si="0"/>
        <v>13687.529999999999</v>
      </c>
      <c r="E34" s="45">
        <f>HBEP!E34+LIP!E34+MSCIP!E34+NWLLIP!E34+SLIP!F34</f>
        <v>7389</v>
      </c>
      <c r="F34" s="32">
        <f t="shared" si="1"/>
        <v>-6298.5299999999988</v>
      </c>
      <c r="G34" s="33">
        <f t="shared" si="2"/>
        <v>185.2419813235891</v>
      </c>
      <c r="H34" s="94">
        <f>HBEP!H34+LIP!H34+MSCIP!H34+NWLLIP!H34+SLIP!I34</f>
        <v>8200</v>
      </c>
      <c r="I34" s="35">
        <f t="shared" si="3"/>
        <v>-811</v>
      </c>
      <c r="J34" s="36">
        <f t="shared" si="4"/>
        <v>110.97577480037894</v>
      </c>
      <c r="K34" s="103"/>
      <c r="L34" s="20"/>
      <c r="M34" s="20"/>
      <c r="N34" s="20"/>
      <c r="O34" s="20"/>
      <c r="P34" s="20"/>
      <c r="Q34" s="20"/>
      <c r="R34" s="20"/>
      <c r="S34" s="20"/>
      <c r="T34" s="20"/>
      <c r="U34" s="20"/>
      <c r="V34" s="20"/>
    </row>
    <row r="35" spans="1:22" x14ac:dyDescent="0.25">
      <c r="A35" s="3" t="s">
        <v>25</v>
      </c>
      <c r="B35" s="42">
        <f>HBEP!B35+LIP!B35+MSCIP!B35+NWLLIP!B35+SLIP!C35</f>
        <v>12179</v>
      </c>
      <c r="C35" s="42">
        <f>HBEP!C35+LIP!C35+MSCIP!C35+NWLLIP!C35+SLIP!D35</f>
        <v>0</v>
      </c>
      <c r="D35" s="30">
        <f t="shared" si="0"/>
        <v>12179</v>
      </c>
      <c r="E35" s="45">
        <f>HBEP!E35+LIP!E35+MSCIP!E35+NWLLIP!E35+SLIP!F35</f>
        <v>4430</v>
      </c>
      <c r="F35" s="32">
        <f t="shared" si="1"/>
        <v>-7749</v>
      </c>
      <c r="G35" s="33">
        <f t="shared" si="2"/>
        <v>274.920993227991</v>
      </c>
      <c r="H35" s="94">
        <f>HBEP!H35+LIP!H35+MSCIP!H35+NWLLIP!H35+SLIP!I35</f>
        <v>9397.2000000000007</v>
      </c>
      <c r="I35" s="35">
        <f t="shared" si="3"/>
        <v>-4967.2000000000007</v>
      </c>
      <c r="J35" s="36">
        <f t="shared" si="4"/>
        <v>212.12641083521447</v>
      </c>
      <c r="K35" s="103"/>
      <c r="L35" s="20"/>
      <c r="M35" s="20"/>
      <c r="N35" s="20"/>
      <c r="O35" s="20"/>
      <c r="P35" s="20"/>
      <c r="Q35" s="20"/>
      <c r="R35" s="20"/>
      <c r="S35" s="20"/>
      <c r="T35" s="20"/>
      <c r="U35" s="20"/>
      <c r="V35" s="20"/>
    </row>
    <row r="36" spans="1:22" x14ac:dyDescent="0.25">
      <c r="A36" s="5" t="s">
        <v>31</v>
      </c>
      <c r="B36" s="42">
        <f>HBEP!B36+LIP!B36+MSCIP!B36+NWLLIP!B36+SLIP!C36</f>
        <v>0</v>
      </c>
      <c r="C36" s="42">
        <f>HBEP!C36+LIP!C36+MSCIP!C36+NWLLIP!C36+SLIP!D36</f>
        <v>0</v>
      </c>
      <c r="D36" s="30">
        <f t="shared" si="0"/>
        <v>0</v>
      </c>
      <c r="E36" s="45">
        <f>HBEP!E36+LIP!E36+MSCIP!E36+NWLLIP!E36+SLIP!F36</f>
        <v>0</v>
      </c>
      <c r="F36" s="32">
        <f t="shared" si="1"/>
        <v>0</v>
      </c>
      <c r="G36" s="33" t="e">
        <f t="shared" si="2"/>
        <v>#DIV/0!</v>
      </c>
      <c r="H36" s="94">
        <f>HBEP!H36+LIP!H36+MSCIP!H36+NWLLIP!H36+SLIP!I36</f>
        <v>0</v>
      </c>
      <c r="I36" s="35">
        <f t="shared" si="3"/>
        <v>0</v>
      </c>
      <c r="J36" s="36" t="e">
        <f t="shared" si="4"/>
        <v>#DIV/0!</v>
      </c>
      <c r="K36" s="103"/>
      <c r="L36" s="20"/>
      <c r="M36" s="20"/>
      <c r="N36" s="20"/>
      <c r="O36" s="20"/>
      <c r="P36" s="20"/>
      <c r="Q36" s="20"/>
      <c r="R36" s="20"/>
      <c r="S36" s="20"/>
      <c r="T36" s="20"/>
      <c r="U36" s="20"/>
      <c r="V36" s="20"/>
    </row>
    <row r="37" spans="1:22" x14ac:dyDescent="0.25">
      <c r="A37" s="2" t="s">
        <v>26</v>
      </c>
      <c r="B37" s="42">
        <f>HBEP!B37+LIP!B37+MSCIP!B37+NWLLIP!B37+SLIP!C37</f>
        <v>908</v>
      </c>
      <c r="C37" s="42">
        <f>HBEP!C37+LIP!C37+MSCIP!C37+NWLLIP!C37+SLIP!D37</f>
        <v>0</v>
      </c>
      <c r="D37" s="30">
        <f t="shared" si="0"/>
        <v>908</v>
      </c>
      <c r="E37" s="45">
        <f>HBEP!E37+LIP!E37+MSCIP!E37+NWLLIP!E37+SLIP!F37</f>
        <v>0</v>
      </c>
      <c r="F37" s="32">
        <f t="shared" si="1"/>
        <v>-908</v>
      </c>
      <c r="G37" s="33" t="e">
        <f t="shared" si="2"/>
        <v>#DIV/0!</v>
      </c>
      <c r="H37" s="94">
        <f>HBEP!H37+LIP!H37+MSCIP!H37+NWLLIP!H37+SLIP!I37</f>
        <v>908</v>
      </c>
      <c r="I37" s="35">
        <f t="shared" si="3"/>
        <v>-908</v>
      </c>
      <c r="J37" s="36" t="e">
        <f t="shared" si="4"/>
        <v>#DIV/0!</v>
      </c>
      <c r="K37" s="20" t="s">
        <v>66</v>
      </c>
      <c r="L37" s="20"/>
      <c r="M37" s="20"/>
      <c r="N37" s="20"/>
      <c r="O37" s="20"/>
      <c r="P37" s="20"/>
      <c r="Q37" s="20"/>
      <c r="R37" s="20"/>
      <c r="S37" s="20"/>
      <c r="T37" s="20"/>
      <c r="U37" s="20"/>
      <c r="V37" s="20"/>
    </row>
    <row r="38" spans="1:22" x14ac:dyDescent="0.25">
      <c r="A38" s="2" t="s">
        <v>27</v>
      </c>
      <c r="B38" s="42">
        <f>HBEP!B38+LIP!B38+MSCIP!B38+NWLLIP!B38+SLIP!C38</f>
        <v>88128.49</v>
      </c>
      <c r="C38" s="42">
        <f>HBEP!C38+LIP!C38+MSCIP!C38+NWLLIP!C38+SLIP!D38</f>
        <v>0</v>
      </c>
      <c r="D38" s="30">
        <f t="shared" si="0"/>
        <v>88128.49</v>
      </c>
      <c r="E38" s="45">
        <f>HBEP!E38+LIP!E38+MSCIP!E38+NWLLIP!E38+SLIP!F38</f>
        <v>105000</v>
      </c>
      <c r="F38" s="32">
        <f t="shared" si="1"/>
        <v>16871.509999999995</v>
      </c>
      <c r="G38" s="33">
        <f t="shared" si="2"/>
        <v>83.931895238095237</v>
      </c>
      <c r="H38" s="94">
        <f>HBEP!H38+LIP!H38+MSCIP!H38+NWLLIP!H38+SLIP!I38</f>
        <v>88500</v>
      </c>
      <c r="I38" s="35">
        <f t="shared" si="3"/>
        <v>16500</v>
      </c>
      <c r="J38" s="36">
        <f t="shared" si="4"/>
        <v>84.285714285714292</v>
      </c>
      <c r="K38" s="20" t="s">
        <v>74</v>
      </c>
      <c r="L38" s="20"/>
      <c r="M38" s="20"/>
      <c r="N38" s="20"/>
      <c r="O38" s="20"/>
      <c r="P38" s="20"/>
      <c r="Q38" s="20"/>
      <c r="R38" s="20"/>
      <c r="S38" s="20"/>
      <c r="T38" s="20"/>
      <c r="U38" s="20"/>
      <c r="V38" s="20"/>
    </row>
    <row r="39" spans="1:22" x14ac:dyDescent="0.25">
      <c r="A39" s="5" t="s">
        <v>32</v>
      </c>
      <c r="B39" s="61"/>
      <c r="C39" s="61"/>
      <c r="D39" s="62"/>
      <c r="E39" s="61"/>
      <c r="F39" s="7"/>
      <c r="G39" s="37"/>
      <c r="H39" s="61"/>
      <c r="I39" s="7"/>
      <c r="J39" s="37"/>
      <c r="K39" s="20"/>
      <c r="L39" s="20"/>
      <c r="M39" s="20"/>
      <c r="N39" s="20"/>
      <c r="O39" s="20"/>
      <c r="P39" s="20"/>
      <c r="Q39" s="20"/>
      <c r="R39" s="20"/>
      <c r="S39" s="20"/>
      <c r="T39" s="20"/>
      <c r="U39" s="20"/>
      <c r="V39" s="20"/>
    </row>
    <row r="40" spans="1:22" x14ac:dyDescent="0.25">
      <c r="A40" s="2" t="s">
        <v>28</v>
      </c>
      <c r="B40" s="42">
        <f>HBEP!B40+LIP!B40+MSCIP!B40+NWLLIP!B40+SLIP!C40</f>
        <v>1043237.34</v>
      </c>
      <c r="C40" s="42">
        <f>HBEP!C40+LIP!C40+MSCIP!C40+NWLLIP!C40+SLIP!D40</f>
        <v>23879</v>
      </c>
      <c r="D40" s="30">
        <f t="shared" si="0"/>
        <v>1067116.3399999999</v>
      </c>
      <c r="E40" s="45">
        <f>HBEP!E40+LIP!E40+MSCIP!E40+NWLLIP!E40+SLIP!F40</f>
        <v>1201727.1499999999</v>
      </c>
      <c r="F40" s="32">
        <f t="shared" si="1"/>
        <v>134610.81000000006</v>
      </c>
      <c r="G40" s="33">
        <f t="shared" si="2"/>
        <v>88.79855464695126</v>
      </c>
      <c r="H40" s="94">
        <f>HBEP!H40+LIP!H40+MSCIP!H40+NWLLIP!H40+SLIP!I40</f>
        <v>1288499.6499999999</v>
      </c>
      <c r="I40" s="35">
        <f t="shared" si="3"/>
        <v>-86772.5</v>
      </c>
      <c r="J40" s="36">
        <f t="shared" si="4"/>
        <v>107.22064904666588</v>
      </c>
      <c r="K40" s="20" t="s">
        <v>67</v>
      </c>
      <c r="L40" s="20"/>
      <c r="M40" s="20"/>
      <c r="N40" s="20"/>
      <c r="O40" s="20"/>
      <c r="P40" s="20"/>
      <c r="Q40" s="20"/>
      <c r="R40" s="20"/>
      <c r="S40" s="20"/>
      <c r="T40" s="20"/>
      <c r="U40" s="20"/>
      <c r="V40" s="20"/>
    </row>
    <row r="41" spans="1:22" x14ac:dyDescent="0.25">
      <c r="A41" s="2" t="s">
        <v>29</v>
      </c>
      <c r="B41" s="42">
        <f>HBEP!B41+LIP!B41+MSCIP!B41+NWLLIP!B41+SLIP!C41</f>
        <v>242394.31000000003</v>
      </c>
      <c r="C41" s="42">
        <f>HBEP!C41+LIP!C41+MSCIP!C41+NWLLIP!C41+SLIP!D41</f>
        <v>14909</v>
      </c>
      <c r="D41" s="30">
        <f t="shared" si="0"/>
        <v>257303.31000000003</v>
      </c>
      <c r="E41" s="45">
        <f>HBEP!E41+LIP!E41+MSCIP!E41+NWLLIP!E41+SLIP!F41</f>
        <v>348565.85</v>
      </c>
      <c r="F41" s="32">
        <f t="shared" si="1"/>
        <v>91262.53999999995</v>
      </c>
      <c r="G41" s="33">
        <f t="shared" si="2"/>
        <v>73.817704746463278</v>
      </c>
      <c r="H41" s="94">
        <f>HBEP!H41+LIP!H41+MSCIP!H41+NWLLIP!H41+SLIP!I41</f>
        <v>347191.85</v>
      </c>
      <c r="I41" s="35">
        <f t="shared" si="3"/>
        <v>1374</v>
      </c>
      <c r="J41" s="36">
        <f t="shared" si="4"/>
        <v>99.60581336352945</v>
      </c>
      <c r="K41" s="20" t="s">
        <v>68</v>
      </c>
      <c r="L41" s="20"/>
      <c r="M41" s="20"/>
      <c r="N41" s="20"/>
      <c r="O41" s="20"/>
      <c r="P41" s="20"/>
      <c r="Q41" s="20"/>
      <c r="R41" s="20"/>
      <c r="S41" s="20"/>
      <c r="T41" s="20"/>
      <c r="U41" s="20"/>
      <c r="V41" s="20"/>
    </row>
    <row r="42" spans="1:22" x14ac:dyDescent="0.25">
      <c r="A42" s="2" t="s">
        <v>76</v>
      </c>
      <c r="B42" s="42">
        <f>HBEP!B42+LIP!B42+MSCIP!B42+NWLLIP!B42+SLIP!C42</f>
        <v>2480</v>
      </c>
      <c r="C42" s="42">
        <f>HBEP!C42+LIP!C42+MSCIP!C42+NWLLIP!C42+SLIP!D42</f>
        <v>0</v>
      </c>
      <c r="D42" s="30">
        <f t="shared" si="0"/>
        <v>2480</v>
      </c>
      <c r="E42" s="45">
        <f>HBEP!E42+LIP!E42+MSCIP!E42+NWLLIP!E42+SLIP!F42</f>
        <v>5000</v>
      </c>
      <c r="F42" s="32">
        <f t="shared" si="1"/>
        <v>2520</v>
      </c>
      <c r="G42" s="33">
        <f t="shared" si="2"/>
        <v>49.6</v>
      </c>
      <c r="H42" s="94">
        <f>HBEP!H42+LIP!H42+MSCIP!H42+NWLLIP!H42+SLIP!I42</f>
        <v>9007</v>
      </c>
      <c r="I42" s="35">
        <f t="shared" si="3"/>
        <v>-4007</v>
      </c>
      <c r="J42" s="36">
        <f t="shared" si="4"/>
        <v>180.14</v>
      </c>
      <c r="K42" s="20" t="s">
        <v>77</v>
      </c>
      <c r="L42" s="20"/>
      <c r="M42" s="20"/>
      <c r="N42" s="20"/>
      <c r="O42" s="20"/>
      <c r="P42" s="20"/>
      <c r="Q42" s="20"/>
      <c r="R42" s="20"/>
      <c r="S42" s="20"/>
      <c r="T42" s="20"/>
      <c r="U42" s="20"/>
      <c r="V42" s="20"/>
    </row>
    <row r="43" spans="1:22" x14ac:dyDescent="0.25">
      <c r="A43" s="2"/>
      <c r="B43" s="14"/>
      <c r="C43" s="14"/>
      <c r="D43" s="30"/>
      <c r="E43" s="45">
        <f>HBEP!E43+LIP!E43+MSCIP!E43+NWLLIP!E43+SLIP!F43</f>
        <v>0</v>
      </c>
      <c r="F43" s="32"/>
      <c r="G43" s="33"/>
      <c r="H43" s="94">
        <f>HBEP!H43+LIP!H43+MSCIP!H43+NWLLIP!H43+SLIP!I43</f>
        <v>5000</v>
      </c>
      <c r="I43" s="35"/>
      <c r="J43" s="36"/>
      <c r="K43" s="20"/>
      <c r="L43" s="20"/>
      <c r="M43" s="20"/>
      <c r="N43" s="20"/>
      <c r="O43" s="20"/>
      <c r="P43" s="20"/>
      <c r="Q43" s="20"/>
      <c r="R43" s="20"/>
      <c r="S43" s="20"/>
      <c r="T43" s="20"/>
      <c r="U43" s="20"/>
      <c r="V43" s="20"/>
    </row>
    <row r="44" spans="1:22" x14ac:dyDescent="0.25">
      <c r="A44" s="2" t="s">
        <v>36</v>
      </c>
      <c r="B44" s="8">
        <f>SUM(C17:C43)</f>
        <v>96102</v>
      </c>
      <c r="C44" s="8">
        <f>SUM(D17:D43)</f>
        <v>2677340.5499999998</v>
      </c>
      <c r="D44" s="15">
        <f t="shared" ref="D44" si="5">B44+C44</f>
        <v>2773442.55</v>
      </c>
      <c r="E44" s="8">
        <f>SUM(F17:F43)</f>
        <v>788058.02</v>
      </c>
      <c r="F44" s="18" t="e">
        <f>SUM(G17:G43)</f>
        <v>#DIV/0!</v>
      </c>
      <c r="G44" s="17">
        <f t="shared" ref="G44" si="6">D44/E44%</f>
        <v>351.93380177769143</v>
      </c>
      <c r="H44" s="47">
        <f>SUM(H17:H43)</f>
        <v>3429437.81</v>
      </c>
      <c r="I44" s="15">
        <f t="shared" ref="I44" si="7">E44-H44</f>
        <v>-2641379.79</v>
      </c>
      <c r="J44" s="17">
        <f t="shared" ref="J44" si="8">H44/E44%</f>
        <v>435.17580215730817</v>
      </c>
      <c r="K44" s="20"/>
      <c r="L44" s="20"/>
      <c r="M44" s="20"/>
      <c r="N44" s="20"/>
      <c r="O44" s="20"/>
      <c r="P44" s="20"/>
      <c r="Q44" s="20"/>
      <c r="R44" s="20"/>
      <c r="S44" s="20"/>
      <c r="T44" s="20"/>
      <c r="U44" s="20"/>
    </row>
    <row r="45" spans="1:22" x14ac:dyDescent="0.25">
      <c r="A45" s="1" t="s">
        <v>51</v>
      </c>
      <c r="B45" s="9"/>
      <c r="C45" s="9"/>
      <c r="D45" s="9">
        <f>D44+E14</f>
        <v>-271174.18000000017</v>
      </c>
      <c r="E45" s="9">
        <f>E44+F14</f>
        <v>627494</v>
      </c>
      <c r="F45" s="9"/>
      <c r="G45" s="9"/>
      <c r="H45" s="9">
        <f>H44+I14</f>
        <v>3466047.9499999997</v>
      </c>
      <c r="I45" s="9"/>
      <c r="J45" s="9"/>
      <c r="K45" s="20"/>
      <c r="L45" s="20"/>
      <c r="M45" s="20"/>
      <c r="N45" s="20"/>
      <c r="O45" s="20"/>
      <c r="P45" s="20"/>
      <c r="Q45" s="20"/>
      <c r="R45" s="20"/>
      <c r="S45" s="20"/>
      <c r="T45" s="20"/>
      <c r="U45" s="20"/>
    </row>
    <row r="46" spans="1:22" x14ac:dyDescent="0.25">
      <c r="A46" s="1" t="s">
        <v>52</v>
      </c>
      <c r="B46" s="9"/>
      <c r="C46" s="9"/>
      <c r="D46" s="38">
        <f>D45+D6</f>
        <v>-1350912.8200000003</v>
      </c>
      <c r="E46" s="38">
        <f>E45+E6</f>
        <v>-452244.64000000013</v>
      </c>
      <c r="F46" s="9"/>
      <c r="G46" s="9"/>
      <c r="H46" s="47">
        <f>H15+H44</f>
        <v>-731527.69999999972</v>
      </c>
      <c r="I46" s="9"/>
      <c r="J46" s="9"/>
      <c r="K46" s="20"/>
      <c r="L46" s="20"/>
      <c r="M46" s="20"/>
      <c r="N46" s="20"/>
      <c r="O46" s="20"/>
      <c r="P46" s="20"/>
      <c r="Q46" s="20"/>
      <c r="R46" s="20"/>
      <c r="S46" s="20"/>
      <c r="T46" s="20"/>
      <c r="U46" s="20"/>
    </row>
    <row r="48" spans="1:22" x14ac:dyDescent="0.25">
      <c r="D48" s="10"/>
      <c r="E48" s="10"/>
      <c r="F48" s="10"/>
      <c r="G48" s="11"/>
      <c r="H48" s="10"/>
      <c r="I48" s="10"/>
    </row>
    <row r="49" spans="1:18" x14ac:dyDescent="0.25">
      <c r="A49" s="1" t="s">
        <v>40</v>
      </c>
      <c r="B49">
        <f>D15</f>
        <v>-3963791.35</v>
      </c>
      <c r="G49"/>
      <c r="J49"/>
    </row>
    <row r="50" spans="1:18" x14ac:dyDescent="0.25">
      <c r="A50" s="1" t="s">
        <v>41</v>
      </c>
      <c r="B50">
        <f>D44</f>
        <v>2773442.55</v>
      </c>
      <c r="G50"/>
      <c r="J50"/>
    </row>
    <row r="51" spans="1:18" x14ac:dyDescent="0.25">
      <c r="A51" s="1" t="s">
        <v>42</v>
      </c>
      <c r="B51">
        <f>H15</f>
        <v>-4160965.51</v>
      </c>
    </row>
    <row r="52" spans="1:18" x14ac:dyDescent="0.25">
      <c r="A52" s="1" t="s">
        <v>71</v>
      </c>
      <c r="B52">
        <f>G44</f>
        <v>351.93380177769143</v>
      </c>
    </row>
    <row r="53" spans="1:18" x14ac:dyDescent="0.25">
      <c r="A53" s="1" t="s">
        <v>43</v>
      </c>
      <c r="B53">
        <f>B51+B52</f>
        <v>-4160613.5761982221</v>
      </c>
    </row>
    <row r="54" spans="1:18" x14ac:dyDescent="0.25">
      <c r="A54" s="1" t="s">
        <v>44</v>
      </c>
      <c r="B54" s="4">
        <f>B53/B7%</f>
        <v>215.88691146144899</v>
      </c>
    </row>
    <row r="55" spans="1:18" x14ac:dyDescent="0.25">
      <c r="A55" s="1" t="s">
        <v>45</v>
      </c>
      <c r="B55" s="4">
        <f>B53/B15%</f>
        <v>105.44789252212428</v>
      </c>
    </row>
    <row r="56" spans="1:18" x14ac:dyDescent="0.25">
      <c r="B56" s="19"/>
    </row>
    <row r="57" spans="1:18" x14ac:dyDescent="0.25">
      <c r="A57" s="1" t="s">
        <v>46</v>
      </c>
      <c r="B57" s="19"/>
    </row>
    <row r="58" spans="1:18" x14ac:dyDescent="0.25">
      <c r="B58" s="19"/>
    </row>
    <row r="59" spans="1:18" ht="30" x14ac:dyDescent="0.25">
      <c r="A59" s="1" t="s">
        <v>141</v>
      </c>
      <c r="B59" s="40">
        <f>HBEP!B59+LIP!B59+MSCIP!B59+NWLLIP!B59+SLIP!C59</f>
        <v>89.68</v>
      </c>
    </row>
    <row r="60" spans="1:18" ht="30" x14ac:dyDescent="0.25">
      <c r="A60" s="1" t="s">
        <v>142</v>
      </c>
      <c r="B60" s="40">
        <v>134.24</v>
      </c>
    </row>
    <row r="61" spans="1:18" ht="30" x14ac:dyDescent="0.25">
      <c r="A61" s="1" t="s">
        <v>143</v>
      </c>
      <c r="B61" s="40">
        <f>HBEP!B61+LIP!B61+MSCIP!B61+NWLLIP!B61+SLIP!C61</f>
        <v>153.34</v>
      </c>
    </row>
    <row r="62" spans="1:18" x14ac:dyDescent="0.25">
      <c r="A62" s="1" t="s">
        <v>47</v>
      </c>
      <c r="B62" s="4">
        <f>B59*(4/12)+ B60*(3/12)+B61*(5/12)</f>
        <v>127.345</v>
      </c>
    </row>
    <row r="63" spans="1:18" x14ac:dyDescent="0.25">
      <c r="A63" s="1" t="s">
        <v>69</v>
      </c>
      <c r="B63" s="4">
        <f>D44/B62</f>
        <v>21778.966979465233</v>
      </c>
    </row>
    <row r="64" spans="1:18" x14ac:dyDescent="0.25">
      <c r="A64" s="1" t="s">
        <v>70</v>
      </c>
      <c r="M64" t="s">
        <v>87</v>
      </c>
      <c r="N64" t="s">
        <v>146</v>
      </c>
      <c r="O64" t="s">
        <v>97</v>
      </c>
      <c r="P64" t="s">
        <v>96</v>
      </c>
      <c r="Q64" t="s">
        <v>95</v>
      </c>
      <c r="R64" t="s">
        <v>99</v>
      </c>
    </row>
    <row r="65" spans="1:20" x14ac:dyDescent="0.25">
      <c r="A65" s="89"/>
      <c r="B65" s="81" t="s">
        <v>134</v>
      </c>
      <c r="C65" s="81"/>
      <c r="D65" s="81"/>
      <c r="E65" s="81" t="s">
        <v>3</v>
      </c>
      <c r="F65" s="87"/>
      <c r="G65" s="81" t="s">
        <v>4</v>
      </c>
      <c r="L65" t="s">
        <v>6</v>
      </c>
      <c r="M65">
        <f>HBEP!G100</f>
        <v>19636.911570611526</v>
      </c>
      <c r="N65">
        <f>LIP!G100</f>
        <v>11680.25</v>
      </c>
      <c r="O65">
        <f>MSCIP!G100</f>
        <v>14192.554367858458</v>
      </c>
      <c r="P65">
        <f>NWLLIP!G100</f>
        <v>15540.822543792839</v>
      </c>
      <c r="Q65">
        <f>SLIP!H100</f>
        <v>18172.33846153846</v>
      </c>
      <c r="R65">
        <f>G100</f>
        <v>15734.061015351997</v>
      </c>
    </row>
    <row r="66" spans="1:20" x14ac:dyDescent="0.25">
      <c r="A66" s="81" t="s">
        <v>105</v>
      </c>
      <c r="B66" s="81">
        <f>B6</f>
        <v>-1079738.6400000001</v>
      </c>
      <c r="C66" s="81"/>
      <c r="D66" s="81"/>
      <c r="E66" s="81">
        <f>E6</f>
        <v>-1079738.6400000001</v>
      </c>
      <c r="F66" s="87"/>
      <c r="G66" s="81">
        <f>H6</f>
        <v>-1079738.6400000001</v>
      </c>
      <c r="L66" t="s">
        <v>115</v>
      </c>
      <c r="M66" s="4">
        <f>HBEP!G101</f>
        <v>31098.450505939287</v>
      </c>
      <c r="N66" s="4">
        <f>LIP!G101</f>
        <v>24216.375</v>
      </c>
      <c r="O66" s="4">
        <f>MSCIP!G101</f>
        <v>22272.141540729819</v>
      </c>
      <c r="P66" s="4">
        <f>NWLLIP!G101</f>
        <v>31140.980198019799</v>
      </c>
      <c r="Q66" s="4">
        <f>SLIP!H101</f>
        <v>27133.392923076924</v>
      </c>
      <c r="R66" s="4">
        <f>G101</f>
        <v>26796.00934469355</v>
      </c>
    </row>
    <row r="67" spans="1:20" x14ac:dyDescent="0.25">
      <c r="A67" s="81" t="s">
        <v>106</v>
      </c>
      <c r="B67" s="81">
        <f>E7</f>
        <v>-1999803</v>
      </c>
      <c r="C67" s="81"/>
      <c r="D67" s="81"/>
      <c r="E67" s="81">
        <f>E7</f>
        <v>-1999803</v>
      </c>
      <c r="F67" s="87"/>
      <c r="G67" s="81">
        <f>H7</f>
        <v>-2003654</v>
      </c>
    </row>
    <row r="68" spans="1:20" x14ac:dyDescent="0.25">
      <c r="A68" s="81"/>
      <c r="B68" s="81"/>
      <c r="C68" s="81"/>
      <c r="D68" s="81"/>
      <c r="E68" s="81"/>
      <c r="F68" s="87"/>
      <c r="G68" s="81"/>
    </row>
    <row r="69" spans="1:20" x14ac:dyDescent="0.25">
      <c r="A69" s="82" t="s">
        <v>107</v>
      </c>
      <c r="B69" s="81"/>
      <c r="C69" s="81"/>
      <c r="D69" s="81"/>
      <c r="E69" s="81"/>
      <c r="F69" s="87"/>
      <c r="G69" s="81"/>
    </row>
    <row r="70" spans="1:20" x14ac:dyDescent="0.25">
      <c r="A70" s="81" t="s">
        <v>108</v>
      </c>
      <c r="B70" s="81">
        <f>B7</f>
        <v>-1927219</v>
      </c>
      <c r="C70" s="81"/>
      <c r="D70" s="81"/>
      <c r="E70" s="81">
        <f>E7</f>
        <v>-1999803</v>
      </c>
      <c r="F70" s="87"/>
      <c r="G70" s="81">
        <f>H7</f>
        <v>-2003654</v>
      </c>
    </row>
    <row r="71" spans="1:20" x14ac:dyDescent="0.25">
      <c r="A71" s="81" t="s">
        <v>109</v>
      </c>
      <c r="B71" s="81">
        <f>B11+B12</f>
        <v>-651795.9800000001</v>
      </c>
      <c r="C71" s="81"/>
      <c r="D71" s="81"/>
      <c r="E71" s="81">
        <f>E11+E12</f>
        <v>-687138.73</v>
      </c>
      <c r="F71" s="87"/>
      <c r="G71" s="81">
        <f>H11+H12</f>
        <v>-806475.87</v>
      </c>
      <c r="T71" s="4"/>
    </row>
    <row r="72" spans="1:20" x14ac:dyDescent="0.25">
      <c r="A72" s="81" t="s">
        <v>110</v>
      </c>
      <c r="B72" s="81">
        <f>B10</f>
        <v>-30435</v>
      </c>
      <c r="C72" s="81"/>
      <c r="D72" s="81"/>
      <c r="E72" s="81">
        <f>E10</f>
        <v>-30435</v>
      </c>
      <c r="F72" s="87"/>
      <c r="G72" s="81">
        <f>H10</f>
        <v>-30435</v>
      </c>
    </row>
    <row r="73" spans="1:20" x14ac:dyDescent="0.25">
      <c r="A73" s="81" t="s">
        <v>111</v>
      </c>
      <c r="B73" s="81"/>
      <c r="C73" s="81"/>
      <c r="D73" s="81"/>
      <c r="E73" s="81"/>
      <c r="F73" s="87"/>
      <c r="G73" s="81"/>
    </row>
    <row r="74" spans="1:20" x14ac:dyDescent="0.25">
      <c r="A74" s="81" t="s">
        <v>112</v>
      </c>
      <c r="B74" s="81">
        <f>B9</f>
        <v>-30000</v>
      </c>
      <c r="C74" s="81"/>
      <c r="D74" s="81"/>
      <c r="E74" s="81">
        <f>E9</f>
        <v>-30000</v>
      </c>
      <c r="F74" s="87"/>
      <c r="G74" s="81">
        <f>H9</f>
        <v>-3000</v>
      </c>
    </row>
    <row r="75" spans="1:20" x14ac:dyDescent="0.25">
      <c r="A75" s="81" t="s">
        <v>113</v>
      </c>
      <c r="B75" s="81">
        <f>B8</f>
        <v>-226469.72999999998</v>
      </c>
      <c r="C75" s="81"/>
      <c r="D75" s="81"/>
      <c r="E75" s="81">
        <f>E8</f>
        <v>-297240</v>
      </c>
      <c r="F75" s="87"/>
      <c r="G75" s="81">
        <f>H8</f>
        <v>-237662</v>
      </c>
    </row>
    <row r="76" spans="1:20" ht="15.75" thickBot="1" x14ac:dyDescent="0.3">
      <c r="A76" s="83" t="s">
        <v>114</v>
      </c>
      <c r="B76" s="85">
        <f>SUM(B70:B75)</f>
        <v>-2865919.71</v>
      </c>
      <c r="C76" s="81"/>
      <c r="D76" s="81"/>
      <c r="E76" s="85">
        <f>SUM(E70:E75)</f>
        <v>-3044616.73</v>
      </c>
      <c r="F76" s="87"/>
      <c r="G76" s="85">
        <f>SUM(G70:G75)</f>
        <v>-3081226.87</v>
      </c>
    </row>
    <row r="77" spans="1:20" ht="15.75" thickTop="1" x14ac:dyDescent="0.25">
      <c r="A77" s="81"/>
      <c r="B77" s="81"/>
      <c r="C77" s="81"/>
      <c r="D77" s="81"/>
      <c r="E77" s="81"/>
      <c r="F77" s="87"/>
      <c r="G77" s="81"/>
    </row>
    <row r="78" spans="1:20" x14ac:dyDescent="0.25">
      <c r="A78" s="82" t="s">
        <v>115</v>
      </c>
      <c r="B78" s="81"/>
      <c r="C78" s="81"/>
      <c r="D78" s="81"/>
      <c r="E78" s="81"/>
      <c r="F78" s="87"/>
      <c r="G78" s="81"/>
    </row>
    <row r="79" spans="1:20" x14ac:dyDescent="0.25">
      <c r="A79" s="81" t="s">
        <v>116</v>
      </c>
      <c r="B79" s="81">
        <f>B20+B21</f>
        <v>1029425.34</v>
      </c>
      <c r="C79" s="81"/>
      <c r="D79" s="81"/>
      <c r="E79" s="81">
        <f>E20+E21</f>
        <v>1377933.47</v>
      </c>
      <c r="F79" s="87"/>
      <c r="G79" s="81">
        <f>H20+H21</f>
        <v>1308272.75</v>
      </c>
    </row>
    <row r="80" spans="1:20" x14ac:dyDescent="0.25">
      <c r="A80" s="81" t="s">
        <v>117</v>
      </c>
      <c r="B80" s="81">
        <f>B22</f>
        <v>8968.58</v>
      </c>
      <c r="C80" s="81"/>
      <c r="D80" s="81"/>
      <c r="E80" s="81">
        <f>E22</f>
        <v>11941</v>
      </c>
      <c r="F80" s="87"/>
      <c r="G80" s="81">
        <f>H22</f>
        <v>13941</v>
      </c>
    </row>
    <row r="81" spans="1:7" x14ac:dyDescent="0.25">
      <c r="A81" s="81" t="s">
        <v>118</v>
      </c>
      <c r="B81" s="81">
        <f>B28</f>
        <v>11776.42</v>
      </c>
      <c r="C81" s="81"/>
      <c r="D81" s="81"/>
      <c r="E81" s="81">
        <f>E28</f>
        <v>39000</v>
      </c>
      <c r="F81" s="87"/>
      <c r="G81" s="81">
        <f>H28</f>
        <v>38000</v>
      </c>
    </row>
    <row r="82" spans="1:7" x14ac:dyDescent="0.25">
      <c r="A82" s="81" t="s">
        <v>119</v>
      </c>
      <c r="B82" s="81">
        <f>B26</f>
        <v>5994.76</v>
      </c>
      <c r="C82" s="81"/>
      <c r="D82" s="81"/>
      <c r="E82" s="81">
        <f>E26</f>
        <v>21550</v>
      </c>
      <c r="F82" s="87"/>
      <c r="G82" s="81">
        <f>H26</f>
        <v>11339.76</v>
      </c>
    </row>
    <row r="83" spans="1:7" x14ac:dyDescent="0.25">
      <c r="A83" s="81" t="s">
        <v>120</v>
      </c>
      <c r="B83" s="81">
        <f>B18</f>
        <v>8344</v>
      </c>
      <c r="C83" s="81"/>
      <c r="D83" s="81"/>
      <c r="E83" s="81">
        <f>E18</f>
        <v>25415</v>
      </c>
      <c r="F83" s="87"/>
      <c r="G83" s="81">
        <f>H18</f>
        <v>25491</v>
      </c>
    </row>
    <row r="84" spans="1:7" x14ac:dyDescent="0.25">
      <c r="A84" s="81" t="s">
        <v>121</v>
      </c>
      <c r="B84" s="81">
        <f>B40</f>
        <v>1043237.34</v>
      </c>
      <c r="C84" s="81"/>
      <c r="D84" s="81"/>
      <c r="E84" s="81">
        <f>E40</f>
        <v>1201727.1499999999</v>
      </c>
      <c r="F84" s="87"/>
      <c r="G84" s="81">
        <f>H40+H42</f>
        <v>1297506.6499999999</v>
      </c>
    </row>
    <row r="85" spans="1:7" x14ac:dyDescent="0.25">
      <c r="A85" s="81" t="s">
        <v>122</v>
      </c>
      <c r="B85" s="81">
        <f>B41</f>
        <v>242394.31000000003</v>
      </c>
      <c r="C85" s="81"/>
      <c r="D85" s="81"/>
      <c r="E85" s="81">
        <f>E41</f>
        <v>348565.85</v>
      </c>
      <c r="F85" s="87"/>
      <c r="G85" s="81">
        <f>H41</f>
        <v>347191.85</v>
      </c>
    </row>
    <row r="86" spans="1:7" x14ac:dyDescent="0.25">
      <c r="A86" s="81" t="s">
        <v>123</v>
      </c>
      <c r="B86" s="81">
        <f>B37+B38</f>
        <v>89036.49</v>
      </c>
      <c r="C86" s="81"/>
      <c r="D86" s="81"/>
      <c r="E86" s="81">
        <f>E37+E38</f>
        <v>105000</v>
      </c>
      <c r="F86" s="87"/>
      <c r="G86" s="81">
        <f>H37+H38</f>
        <v>89408</v>
      </c>
    </row>
    <row r="87" spans="1:7" x14ac:dyDescent="0.25">
      <c r="A87" s="81" t="s">
        <v>124</v>
      </c>
      <c r="B87" s="81">
        <f>B17+B24</f>
        <v>36993.279999999999</v>
      </c>
      <c r="C87" s="81"/>
      <c r="D87" s="81"/>
      <c r="E87" s="81">
        <f>E17+E24</f>
        <v>139703.84</v>
      </c>
      <c r="F87" s="87"/>
      <c r="G87" s="90">
        <f>H17+H24</f>
        <v>154703.84</v>
      </c>
    </row>
    <row r="88" spans="1:7" x14ac:dyDescent="0.25">
      <c r="A88" s="81" t="s">
        <v>131</v>
      </c>
      <c r="B88" s="81">
        <f>B30+B31+B32+B33+B34+B35 +B25+B27</f>
        <v>102588.03</v>
      </c>
      <c r="C88" s="81"/>
      <c r="D88" s="81"/>
      <c r="E88" s="81">
        <f>E30+E31+E32+E33+E34+E35+B25+B27</f>
        <v>151625.60000000001</v>
      </c>
      <c r="F88" s="87"/>
      <c r="G88" s="107">
        <f>H25+H27+H30+H34+H35</f>
        <v>126482.96</v>
      </c>
    </row>
    <row r="89" spans="1:7" ht="15.75" thickBot="1" x14ac:dyDescent="0.3">
      <c r="A89" s="83" t="s">
        <v>125</v>
      </c>
      <c r="B89" s="85">
        <f>SUM(B79:B88)</f>
        <v>2578758.5499999998</v>
      </c>
      <c r="C89" s="81"/>
      <c r="D89" s="81"/>
      <c r="E89" s="85">
        <f>SUM(E79:E88)</f>
        <v>3422461.91</v>
      </c>
      <c r="F89" s="87"/>
      <c r="G89" s="85">
        <f>SUM(G79:G88)</f>
        <v>3412337.81</v>
      </c>
    </row>
    <row r="90" spans="1:7" ht="15.75" thickTop="1" x14ac:dyDescent="0.25">
      <c r="A90" s="81"/>
      <c r="B90" s="81"/>
      <c r="C90" s="81"/>
      <c r="D90" s="81"/>
      <c r="E90" s="81"/>
      <c r="F90" s="87"/>
      <c r="G90" s="81"/>
    </row>
    <row r="91" spans="1:7" ht="15.75" thickBot="1" x14ac:dyDescent="0.3">
      <c r="A91" s="81" t="s">
        <v>126</v>
      </c>
      <c r="B91" s="85">
        <f>B89+B76</f>
        <v>-287161.16000000015</v>
      </c>
      <c r="C91" s="81"/>
      <c r="D91" s="81"/>
      <c r="E91" s="85">
        <f>E89+E76</f>
        <v>377845.18000000017</v>
      </c>
      <c r="F91" s="87"/>
      <c r="G91" s="85">
        <f>G76+G89</f>
        <v>331110.93999999994</v>
      </c>
    </row>
    <row r="92" spans="1:7" ht="15.75" thickTop="1" x14ac:dyDescent="0.25">
      <c r="A92" s="81"/>
      <c r="B92" s="83"/>
      <c r="C92" s="81"/>
      <c r="D92" s="81"/>
      <c r="E92" s="83"/>
      <c r="F92" s="87"/>
      <c r="G92" s="81"/>
    </row>
    <row r="93" spans="1:7" x14ac:dyDescent="0.25">
      <c r="A93" s="81"/>
      <c r="B93" s="81"/>
      <c r="C93" s="81"/>
      <c r="D93" s="81"/>
      <c r="E93" s="81"/>
      <c r="F93" s="87"/>
      <c r="G93" s="81"/>
    </row>
    <row r="94" spans="1:7" x14ac:dyDescent="0.25">
      <c r="A94" s="81" t="s">
        <v>127</v>
      </c>
      <c r="B94" s="81">
        <f>B66+B76+B89</f>
        <v>-1366899.8000000003</v>
      </c>
      <c r="C94" s="81"/>
      <c r="D94" s="81"/>
      <c r="E94" s="81">
        <f>E66+E76+E89</f>
        <v>-701893.46</v>
      </c>
      <c r="F94" s="87"/>
      <c r="G94" s="81">
        <f>G66+G91</f>
        <v>-748627.70000000019</v>
      </c>
    </row>
    <row r="95" spans="1:7" x14ac:dyDescent="0.25">
      <c r="A95" s="81" t="s">
        <v>128</v>
      </c>
      <c r="B95" s="86">
        <f>B94/B76</f>
        <v>0.47694978865964122</v>
      </c>
      <c r="C95" s="81"/>
      <c r="D95" s="81"/>
      <c r="E95" s="86">
        <f>E94/E76</f>
        <v>0.2305359006550555</v>
      </c>
      <c r="F95" s="87"/>
      <c r="G95" s="108">
        <f>G94/G76</f>
        <v>0.24296416057153239</v>
      </c>
    </row>
    <row r="96" spans="1:7" x14ac:dyDescent="0.25">
      <c r="A96" s="81" t="s">
        <v>129</v>
      </c>
      <c r="B96" s="86">
        <f>B94/B67</f>
        <v>0.68351722644680513</v>
      </c>
      <c r="C96" s="81"/>
      <c r="D96" s="81"/>
      <c r="E96" s="86">
        <f>E94/E67</f>
        <v>0.35098130165821334</v>
      </c>
      <c r="F96" s="87"/>
      <c r="G96" s="108">
        <f>G94/G70</f>
        <v>0.37363122575055385</v>
      </c>
    </row>
    <row r="97" spans="1:7" x14ac:dyDescent="0.25">
      <c r="A97" s="81"/>
      <c r="B97" s="81"/>
      <c r="C97" s="81"/>
      <c r="D97" s="81"/>
      <c r="E97" s="81"/>
      <c r="F97" s="87"/>
      <c r="G97" s="81"/>
    </row>
    <row r="98" spans="1:7" x14ac:dyDescent="0.25">
      <c r="A98" s="81"/>
      <c r="B98" s="81"/>
      <c r="C98" s="81"/>
      <c r="D98" s="81"/>
      <c r="E98" s="81"/>
      <c r="F98" s="87"/>
      <c r="G98" s="81"/>
    </row>
    <row r="99" spans="1:7" x14ac:dyDescent="0.25">
      <c r="A99" s="81" t="s">
        <v>130</v>
      </c>
      <c r="B99" s="87">
        <f>B62</f>
        <v>127.345</v>
      </c>
      <c r="C99" s="81"/>
      <c r="D99" s="81"/>
      <c r="E99" s="87">
        <f>B99</f>
        <v>127.345</v>
      </c>
      <c r="F99" s="87"/>
      <c r="G99" s="87">
        <f>B62</f>
        <v>127.345</v>
      </c>
    </row>
    <row r="100" spans="1:7" x14ac:dyDescent="0.25">
      <c r="A100" s="81" t="s">
        <v>133</v>
      </c>
      <c r="B100" s="81">
        <f>-E7/B99</f>
        <v>15703.820330597982</v>
      </c>
      <c r="C100" s="81"/>
      <c r="D100" s="81"/>
      <c r="E100" s="81">
        <f>B100</f>
        <v>15703.820330597982</v>
      </c>
      <c r="F100" s="87"/>
      <c r="G100" s="81">
        <f>-G70/G99</f>
        <v>15734.061015351997</v>
      </c>
    </row>
    <row r="101" spans="1:7" x14ac:dyDescent="0.25">
      <c r="A101" s="109" t="s">
        <v>140</v>
      </c>
      <c r="B101" s="34">
        <f>B89/B99</f>
        <v>20250.175114845497</v>
      </c>
      <c r="C101" s="34"/>
      <c r="D101" s="34"/>
      <c r="E101" s="34">
        <f>E89/E99</f>
        <v>26875.51069928148</v>
      </c>
      <c r="F101" s="34"/>
      <c r="G101" s="36">
        <f>G89/G99</f>
        <v>26796.00934469355</v>
      </c>
    </row>
  </sheetData>
  <mergeCells count="18">
    <mergeCell ref="F4:F5"/>
    <mergeCell ref="C1:D1"/>
    <mergeCell ref="B4:B5"/>
    <mergeCell ref="C4:C5"/>
    <mergeCell ref="D4:D5"/>
    <mergeCell ref="E4:E5"/>
    <mergeCell ref="K31:K36"/>
    <mergeCell ref="G4:G5"/>
    <mergeCell ref="H4:H5"/>
    <mergeCell ref="I4:I5"/>
    <mergeCell ref="J4:J5"/>
    <mergeCell ref="K11:V11"/>
    <mergeCell ref="K12:V12"/>
    <mergeCell ref="K14:V14"/>
    <mergeCell ref="K17:V17"/>
    <mergeCell ref="K18:V18"/>
    <mergeCell ref="K24:V24"/>
    <mergeCell ref="K30:V30"/>
  </mergeCells>
  <conditionalFormatting sqref="D45:E45">
    <cfRule type="cellIs" dxfId="52" priority="26" operator="lessThan">
      <formula>0</formula>
    </cfRule>
    <cfRule type="cellIs" dxfId="51" priority="27" operator="greaterThan">
      <formula>0</formula>
    </cfRule>
  </conditionalFormatting>
  <conditionalFormatting sqref="H45">
    <cfRule type="cellIs" dxfId="50" priority="24" operator="lessThan">
      <formula>0</formula>
    </cfRule>
    <cfRule type="cellIs" dxfId="49" priority="25" operator="greaterThan">
      <formula>0</formula>
    </cfRule>
  </conditionalFormatting>
  <conditionalFormatting sqref="H46 D46:E46">
    <cfRule type="cellIs" dxfId="48" priority="22" operator="lessThan">
      <formula>0</formula>
    </cfRule>
    <cfRule type="cellIs" dxfId="47" priority="23" operator="greaterThan">
      <formula>0</formula>
    </cfRule>
  </conditionalFormatting>
  <conditionalFormatting sqref="M65">
    <cfRule type="cellIs" dxfId="46" priority="21" operator="greaterThan">
      <formula>$R$65</formula>
    </cfRule>
    <cfRule type="cellIs" dxfId="45" priority="20" operator="greaterThan">
      <formula>$R$65</formula>
    </cfRule>
  </conditionalFormatting>
  <conditionalFormatting sqref="N65">
    <cfRule type="cellIs" dxfId="44" priority="19" operator="greaterThan">
      <formula>$R$65</formula>
    </cfRule>
    <cfRule type="cellIs" dxfId="43" priority="18" operator="lessThan">
      <formula>$R$65</formula>
    </cfRule>
  </conditionalFormatting>
  <conditionalFormatting sqref="O65">
    <cfRule type="cellIs" dxfId="42" priority="17" operator="greaterThan">
      <formula>$R$65</formula>
    </cfRule>
    <cfRule type="cellIs" dxfId="41" priority="16" operator="lessThan">
      <formula>$R$65</formula>
    </cfRule>
  </conditionalFormatting>
  <conditionalFormatting sqref="P65">
    <cfRule type="cellIs" dxfId="40" priority="15" operator="greaterThan">
      <formula>$R$65</formula>
    </cfRule>
    <cfRule type="cellIs" dxfId="39" priority="14" operator="lessThan">
      <formula>15540.82254</formula>
    </cfRule>
    <cfRule type="cellIs" dxfId="38" priority="13" operator="lessThan">
      <formula>$R$65</formula>
    </cfRule>
  </conditionalFormatting>
  <conditionalFormatting sqref="Q65">
    <cfRule type="cellIs" dxfId="37" priority="12" operator="greaterThan">
      <formula>$R$65</formula>
    </cfRule>
    <cfRule type="cellIs" dxfId="36" priority="11" operator="lessThan">
      <formula>$R$65</formula>
    </cfRule>
  </conditionalFormatting>
  <conditionalFormatting sqref="M66">
    <cfRule type="cellIs" dxfId="35" priority="10" operator="greaterThan">
      <formula>$R$66</formula>
    </cfRule>
    <cfRule type="cellIs" dxfId="34" priority="9" operator="lessThan">
      <formula>$R$66</formula>
    </cfRule>
  </conditionalFormatting>
  <conditionalFormatting sqref="N66">
    <cfRule type="cellIs" dxfId="33" priority="8" operator="greaterThan">
      <formula>$R$66</formula>
    </cfRule>
    <cfRule type="cellIs" dxfId="32" priority="7" operator="lessThan">
      <formula>24216.38</formula>
    </cfRule>
  </conditionalFormatting>
  <conditionalFormatting sqref="O66">
    <cfRule type="cellIs" dxfId="31" priority="6" operator="greaterThan">
      <formula>$R$66</formula>
    </cfRule>
    <cfRule type="cellIs" dxfId="30" priority="5" operator="lessThan">
      <formula>$R$66</formula>
    </cfRule>
  </conditionalFormatting>
  <conditionalFormatting sqref="P66">
    <cfRule type="cellIs" dxfId="29" priority="4" operator="greaterThan">
      <formula>$R$66</formula>
    </cfRule>
    <cfRule type="cellIs" dxfId="28" priority="3" operator="lessThan">
      <formula>$R$66</formula>
    </cfRule>
  </conditionalFormatting>
  <conditionalFormatting sqref="Q66">
    <cfRule type="cellIs" dxfId="0" priority="2" operator="greaterThan">
      <formula>$R$66</formula>
    </cfRule>
    <cfRule type="cellIs" dxfId="1" priority="1" operator="lessThan">
      <formula>$R$66</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92149-C3F2-49FE-998E-6FC400666C06}">
  <dimension ref="A1:U46"/>
  <sheetViews>
    <sheetView workbookViewId="0">
      <selection activeCell="B49" sqref="B49"/>
    </sheetView>
  </sheetViews>
  <sheetFormatPr defaultRowHeight="15" x14ac:dyDescent="0.25"/>
  <cols>
    <col min="1" max="1" width="78.140625" customWidth="1"/>
    <col min="2" max="7" width="25.28515625" customWidth="1"/>
  </cols>
  <sheetData>
    <row r="1" spans="1:14" x14ac:dyDescent="0.25">
      <c r="A1" t="s">
        <v>102</v>
      </c>
    </row>
    <row r="3" spans="1:14" x14ac:dyDescent="0.25">
      <c r="B3" s="70" t="s">
        <v>87</v>
      </c>
      <c r="C3" s="71" t="s">
        <v>98</v>
      </c>
      <c r="D3" s="72" t="s">
        <v>97</v>
      </c>
      <c r="E3" s="73" t="s">
        <v>96</v>
      </c>
      <c r="F3" s="74" t="s">
        <v>95</v>
      </c>
      <c r="G3" s="75" t="s">
        <v>99</v>
      </c>
      <c r="J3" t="s">
        <v>87</v>
      </c>
      <c r="K3" t="s">
        <v>98</v>
      </c>
      <c r="L3" t="s">
        <v>97</v>
      </c>
      <c r="M3" t="s">
        <v>96</v>
      </c>
      <c r="N3" t="s">
        <v>95</v>
      </c>
    </row>
    <row r="4" spans="1:14" ht="15" customHeight="1" x14ac:dyDescent="0.25">
      <c r="A4" s="1" t="s">
        <v>13</v>
      </c>
      <c r="B4" s="70"/>
      <c r="C4" s="71"/>
      <c r="D4" s="72"/>
      <c r="E4" s="73"/>
      <c r="F4" s="74"/>
      <c r="G4" s="75"/>
      <c r="J4">
        <f>B5/B6%</f>
        <v>55.577387100170938</v>
      </c>
      <c r="K4">
        <f t="shared" ref="K4:N4" si="0">C5/C6%</f>
        <v>62.078400973283159</v>
      </c>
      <c r="L4">
        <f t="shared" si="0"/>
        <v>24.782231465791313</v>
      </c>
      <c r="M4">
        <f t="shared" si="0"/>
        <v>127.74866577473279</v>
      </c>
      <c r="N4">
        <f t="shared" si="0"/>
        <v>29.520776293978507</v>
      </c>
    </row>
    <row r="5" spans="1:14" ht="15" customHeight="1" x14ac:dyDescent="0.25">
      <c r="A5" s="1" t="s">
        <v>38</v>
      </c>
      <c r="B5" s="32">
        <f>HBEP!E6</f>
        <v>-248068</v>
      </c>
      <c r="C5" s="35">
        <f>LIP!E6</f>
        <v>-230637.4</v>
      </c>
      <c r="D5" s="64">
        <f>MSCIP!E6</f>
        <v>-79120</v>
      </c>
      <c r="E5" s="65">
        <f>NWLLIP!E6</f>
        <v>-347563.24</v>
      </c>
      <c r="F5" s="67">
        <f>SLIP!F6</f>
        <v>-174350</v>
      </c>
      <c r="G5" s="68">
        <f>County!E6</f>
        <v>-1079738.6400000001</v>
      </c>
    </row>
    <row r="6" spans="1:14" ht="15" customHeight="1" x14ac:dyDescent="0.25">
      <c r="A6" s="2" t="s">
        <v>6</v>
      </c>
      <c r="B6" s="32">
        <f>HBEP!E7</f>
        <v>-446347</v>
      </c>
      <c r="C6" s="35">
        <f>LIP!E7</f>
        <v>-371526</v>
      </c>
      <c r="D6" s="64">
        <f>MSCIP!E7</f>
        <v>-319261</v>
      </c>
      <c r="E6" s="65">
        <f>NWLLIP!E7</f>
        <v>-272068</v>
      </c>
      <c r="F6" s="67">
        <f>SLIP!F7</f>
        <v>-590601</v>
      </c>
      <c r="G6" s="68">
        <f>County!E7</f>
        <v>-1999803</v>
      </c>
    </row>
    <row r="7" spans="1:14" ht="15" customHeight="1" x14ac:dyDescent="0.25">
      <c r="A7" s="2" t="s">
        <v>7</v>
      </c>
      <c r="B7" s="32">
        <f>HBEP!E8</f>
        <v>-76500</v>
      </c>
      <c r="C7" s="35">
        <f>LIP!E8</f>
        <v>-62000</v>
      </c>
      <c r="D7" s="64">
        <f>MSCIP!E8</f>
        <v>-51000</v>
      </c>
      <c r="E7" s="65">
        <f>NWLLIP!E8</f>
        <v>-107740</v>
      </c>
      <c r="F7" s="67">
        <f>SLIP!F8</f>
        <v>0</v>
      </c>
      <c r="G7" s="68">
        <f>County!E8</f>
        <v>-297240</v>
      </c>
    </row>
    <row r="8" spans="1:14" ht="15" customHeight="1" x14ac:dyDescent="0.25">
      <c r="A8" s="2" t="s">
        <v>8</v>
      </c>
      <c r="B8" s="32">
        <f>HBEP!E9</f>
        <v>0</v>
      </c>
      <c r="C8" s="35">
        <f>LIP!E9</f>
        <v>0</v>
      </c>
      <c r="D8" s="64">
        <f>MSCIP!E9</f>
        <v>0</v>
      </c>
      <c r="E8" s="65">
        <f>NWLLIP!E9</f>
        <v>0</v>
      </c>
      <c r="F8" s="67">
        <f>SLIP!F9</f>
        <v>-30000</v>
      </c>
      <c r="G8" s="68">
        <f>County!E9</f>
        <v>-30000</v>
      </c>
    </row>
    <row r="9" spans="1:14" ht="15" customHeight="1" x14ac:dyDescent="0.25">
      <c r="A9" s="2" t="s">
        <v>9</v>
      </c>
      <c r="B9" s="32">
        <f>HBEP!E10</f>
        <v>0</v>
      </c>
      <c r="C9" s="35">
        <f>LIP!E10</f>
        <v>0</v>
      </c>
      <c r="D9" s="64">
        <f>MSCIP!E10</f>
        <v>-30435</v>
      </c>
      <c r="E9" s="65">
        <f>NWLLIP!E10</f>
        <v>0</v>
      </c>
      <c r="F9" s="67">
        <f>SLIP!F10</f>
        <v>0</v>
      </c>
      <c r="G9" s="68">
        <f>County!E10</f>
        <v>-30435</v>
      </c>
    </row>
    <row r="10" spans="1:14" ht="15" customHeight="1" x14ac:dyDescent="0.25">
      <c r="A10" s="2" t="s">
        <v>10</v>
      </c>
      <c r="B10" s="32">
        <f>HBEP!E11</f>
        <v>-130102.39</v>
      </c>
      <c r="C10" s="35">
        <f>LIP!E11</f>
        <v>-137000</v>
      </c>
      <c r="D10" s="64">
        <f>MSCIP!E11</f>
        <v>-125000</v>
      </c>
      <c r="E10" s="65">
        <f>NWLLIP!E11</f>
        <v>-73697</v>
      </c>
      <c r="F10" s="67">
        <f>SLIP!F11</f>
        <v>-180000</v>
      </c>
      <c r="G10" s="68">
        <f>County!E11</f>
        <v>-645799.39</v>
      </c>
    </row>
    <row r="11" spans="1:14" ht="15" customHeight="1" x14ac:dyDescent="0.25">
      <c r="A11" s="2" t="s">
        <v>11</v>
      </c>
      <c r="B11" s="32">
        <f>HBEP!E12</f>
        <v>-14339.34</v>
      </c>
      <c r="C11" s="35">
        <f>LIP!E12</f>
        <v>0</v>
      </c>
      <c r="D11" s="64">
        <f>MSCIP!E12</f>
        <v>-27000</v>
      </c>
      <c r="E11" s="65">
        <f>NWLLIP!E12</f>
        <v>0</v>
      </c>
      <c r="F11" s="67">
        <f>SLIP!F12</f>
        <v>0</v>
      </c>
      <c r="G11" s="68">
        <f>County!E12</f>
        <v>-41339.339999999997</v>
      </c>
    </row>
    <row r="12" spans="1:14" ht="15" customHeight="1" x14ac:dyDescent="0.25">
      <c r="A12" s="2"/>
      <c r="B12" s="32">
        <f>HBEP!E13</f>
        <v>0</v>
      </c>
      <c r="C12" s="35">
        <f>LIP!E13</f>
        <v>0</v>
      </c>
      <c r="D12" s="64">
        <f>MSCIP!E13</f>
        <v>0</v>
      </c>
      <c r="E12" s="65">
        <f>NWLLIP!E13</f>
        <v>0</v>
      </c>
      <c r="F12" s="67">
        <f>SLIP!F13</f>
        <v>0</v>
      </c>
      <c r="G12" s="68">
        <f>County!E13</f>
        <v>0</v>
      </c>
    </row>
    <row r="13" spans="1:14" ht="15" customHeight="1" x14ac:dyDescent="0.25">
      <c r="A13" s="12" t="s">
        <v>53</v>
      </c>
      <c r="B13" s="63">
        <f>HBEP!E14</f>
        <v>-667288.73</v>
      </c>
      <c r="C13" s="34">
        <f>LIP!E14</f>
        <v>-570526</v>
      </c>
      <c r="D13" s="44">
        <f>MSCIP!E14</f>
        <v>-552696</v>
      </c>
      <c r="E13" s="66">
        <f>NWLLIP!E14</f>
        <v>-453505</v>
      </c>
      <c r="F13" s="31">
        <f>SLIP!F14</f>
        <v>-800601</v>
      </c>
      <c r="G13" s="69">
        <f>County!E14</f>
        <v>-3044616.73</v>
      </c>
    </row>
    <row r="14" spans="1:14" ht="15" customHeight="1" x14ac:dyDescent="0.25">
      <c r="A14" s="13" t="s">
        <v>58</v>
      </c>
      <c r="B14" s="63">
        <f>HBEP!E15</f>
        <v>-915356.73</v>
      </c>
      <c r="C14" s="34">
        <f>LIP!E15</f>
        <v>-801163.4</v>
      </c>
      <c r="D14" s="44">
        <f>MSCIP!E15</f>
        <v>-631816</v>
      </c>
      <c r="E14" s="66">
        <f>NWLLIP!E15</f>
        <v>-801068.24</v>
      </c>
      <c r="F14" s="31">
        <f>SLIP!F15</f>
        <v>-974951</v>
      </c>
      <c r="G14" s="69">
        <f>County!E15</f>
        <v>-4124355.37</v>
      </c>
    </row>
    <row r="15" spans="1:14" ht="15" customHeight="1" x14ac:dyDescent="0.25">
      <c r="A15" s="76" t="s">
        <v>103</v>
      </c>
      <c r="B15" s="77"/>
      <c r="C15" s="77"/>
      <c r="D15" s="78"/>
      <c r="E15" s="77"/>
      <c r="F15" s="77"/>
      <c r="G15" s="78"/>
    </row>
    <row r="16" spans="1:14" ht="15" customHeight="1" x14ac:dyDescent="0.25">
      <c r="A16" s="2" t="s">
        <v>72</v>
      </c>
      <c r="B16" s="32">
        <f>HBEP!E17</f>
        <v>3867.87</v>
      </c>
      <c r="C16" s="35">
        <f>LIP!E17</f>
        <v>10000</v>
      </c>
      <c r="D16" s="64">
        <f>MSCIP!E17</f>
        <v>15580</v>
      </c>
      <c r="E16" s="65">
        <f>NWLLIP!E17</f>
        <v>11197</v>
      </c>
      <c r="F16" s="67">
        <f>SLIP!F17</f>
        <v>36718.97</v>
      </c>
      <c r="G16" s="68">
        <f>County!E17</f>
        <v>77363.839999999997</v>
      </c>
    </row>
    <row r="17" spans="1:21" ht="15" customHeight="1" x14ac:dyDescent="0.25">
      <c r="A17" s="2" t="s">
        <v>73</v>
      </c>
      <c r="B17" s="32">
        <f>HBEP!E18</f>
        <v>3576</v>
      </c>
      <c r="C17" s="35">
        <f>LIP!E18</f>
        <v>3500</v>
      </c>
      <c r="D17" s="64">
        <f>MSCIP!E18</f>
        <v>3576</v>
      </c>
      <c r="E17" s="65">
        <f>NWLLIP!E18</f>
        <v>6763</v>
      </c>
      <c r="F17" s="67">
        <f>SLIP!F18</f>
        <v>8000</v>
      </c>
      <c r="G17" s="68">
        <f>County!E18</f>
        <v>25415</v>
      </c>
    </row>
    <row r="18" spans="1:21" s="77" customFormat="1" ht="15" customHeight="1" x14ac:dyDescent="0.25">
      <c r="A18" s="76" t="s">
        <v>14</v>
      </c>
      <c r="D18" s="78"/>
      <c r="G18" s="78"/>
      <c r="H18" s="79"/>
      <c r="I18" s="79"/>
      <c r="J18" s="79"/>
      <c r="K18" s="79"/>
      <c r="L18" s="79"/>
      <c r="M18" s="79"/>
      <c r="N18" s="79"/>
      <c r="O18" s="79"/>
      <c r="P18" s="79"/>
      <c r="Q18" s="79"/>
      <c r="R18" s="79"/>
      <c r="S18" s="79"/>
      <c r="T18" s="79"/>
      <c r="U18" s="79"/>
    </row>
    <row r="19" spans="1:21" ht="15" customHeight="1" x14ac:dyDescent="0.25">
      <c r="A19" s="2" t="s">
        <v>15</v>
      </c>
      <c r="B19" s="32">
        <f>HBEP!E20</f>
        <v>200000</v>
      </c>
      <c r="C19" s="35">
        <f>LIP!E20</f>
        <v>243440.31</v>
      </c>
      <c r="D19" s="64">
        <f>MSCIP!E20</f>
        <v>42568</v>
      </c>
      <c r="E19" s="65">
        <f>NWLLIP!E20</f>
        <v>59088</v>
      </c>
      <c r="F19" s="67">
        <f>SLIP!F20</f>
        <v>446062.83999999997</v>
      </c>
      <c r="G19" s="68">
        <f>County!E20</f>
        <v>991159.15</v>
      </c>
      <c r="H19" s="79"/>
      <c r="I19" s="79"/>
      <c r="J19" s="79"/>
      <c r="K19" s="79"/>
      <c r="L19" s="79"/>
      <c r="M19" s="79"/>
      <c r="N19" s="79"/>
      <c r="O19" s="79"/>
      <c r="P19" s="79"/>
      <c r="Q19" s="79"/>
      <c r="R19" s="79"/>
      <c r="S19" s="79"/>
      <c r="T19" s="79"/>
      <c r="U19" s="79"/>
    </row>
    <row r="20" spans="1:21" ht="15" customHeight="1" x14ac:dyDescent="0.25">
      <c r="A20" s="2" t="s">
        <v>16</v>
      </c>
      <c r="B20" s="32">
        <f>HBEP!E21</f>
        <v>66000</v>
      </c>
      <c r="C20" s="35">
        <f>LIP!E21</f>
        <v>125869.37</v>
      </c>
      <c r="D20" s="64">
        <f>MSCIP!E21</f>
        <v>126467</v>
      </c>
      <c r="E20" s="65">
        <f>NWLLIP!E21</f>
        <v>24147</v>
      </c>
      <c r="F20" s="67">
        <f>SLIP!F21</f>
        <v>44290.95</v>
      </c>
      <c r="G20" s="68">
        <f>County!E21</f>
        <v>386774.32</v>
      </c>
      <c r="H20" s="79"/>
      <c r="I20" s="79"/>
      <c r="J20" s="79"/>
      <c r="K20" s="79"/>
      <c r="L20" s="79"/>
      <c r="M20" s="79"/>
      <c r="N20" s="79"/>
      <c r="O20" s="79"/>
      <c r="P20" s="79"/>
      <c r="Q20" s="79"/>
      <c r="R20" s="79"/>
      <c r="S20" s="79"/>
      <c r="T20" s="79"/>
      <c r="U20" s="79"/>
    </row>
    <row r="21" spans="1:21" ht="15" customHeight="1" x14ac:dyDescent="0.25">
      <c r="A21" s="2" t="s">
        <v>17</v>
      </c>
      <c r="B21" s="32">
        <f>HBEP!E22</f>
        <v>2000</v>
      </c>
      <c r="C21" s="35">
        <f>LIP!E22</f>
        <v>4000</v>
      </c>
      <c r="D21" s="64">
        <f>MSCIP!E22</f>
        <v>3000</v>
      </c>
      <c r="E21" s="65">
        <f>NWLLIP!E22</f>
        <v>1941</v>
      </c>
      <c r="F21" s="67">
        <f>SLIP!F22</f>
        <v>1000</v>
      </c>
      <c r="G21" s="68">
        <f>County!E22</f>
        <v>11941</v>
      </c>
      <c r="H21" s="79"/>
      <c r="I21" s="79"/>
      <c r="J21" s="79"/>
      <c r="K21" s="79"/>
      <c r="L21" s="79"/>
      <c r="M21" s="79"/>
      <c r="N21" s="79"/>
      <c r="O21" s="79"/>
      <c r="P21" s="79"/>
      <c r="Q21" s="79"/>
      <c r="R21" s="79"/>
      <c r="S21" s="79"/>
      <c r="T21" s="79"/>
      <c r="U21" s="79"/>
    </row>
    <row r="22" spans="1:21" s="77" customFormat="1" ht="15" customHeight="1" x14ac:dyDescent="0.25">
      <c r="A22" s="76" t="s">
        <v>82</v>
      </c>
      <c r="D22" s="78"/>
      <c r="G22" s="78"/>
      <c r="H22" s="79"/>
      <c r="I22" s="79"/>
      <c r="J22" s="79"/>
      <c r="K22" s="79"/>
      <c r="L22" s="79"/>
      <c r="M22" s="79"/>
      <c r="N22" s="79"/>
      <c r="O22" s="79"/>
      <c r="P22" s="79"/>
      <c r="Q22" s="79"/>
      <c r="R22" s="79"/>
      <c r="S22" s="79"/>
      <c r="T22" s="79"/>
      <c r="U22" s="79"/>
    </row>
    <row r="23" spans="1:21" ht="15" customHeight="1" x14ac:dyDescent="0.25">
      <c r="A23" s="2" t="s">
        <v>39</v>
      </c>
      <c r="B23" s="32">
        <f>HBEP!E24</f>
        <v>20500</v>
      </c>
      <c r="C23" s="35">
        <f>LIP!E24</f>
        <v>11940</v>
      </c>
      <c r="D23" s="64">
        <f>MSCIP!E24</f>
        <v>1900</v>
      </c>
      <c r="E23" s="65">
        <f>NWLLIP!E24</f>
        <v>3000</v>
      </c>
      <c r="F23" s="67">
        <f>SLIP!F24</f>
        <v>25000</v>
      </c>
      <c r="G23" s="68">
        <f>County!E24</f>
        <v>62340</v>
      </c>
      <c r="H23" s="79"/>
      <c r="I23" s="79"/>
      <c r="J23" s="79"/>
      <c r="K23" s="79"/>
      <c r="L23" s="79"/>
      <c r="M23" s="79"/>
      <c r="N23" s="79"/>
      <c r="O23" s="79"/>
      <c r="P23" s="79"/>
      <c r="Q23" s="79"/>
      <c r="R23" s="79"/>
      <c r="S23" s="79"/>
      <c r="T23" s="79"/>
      <c r="U23" s="79"/>
    </row>
    <row r="24" spans="1:21" ht="15" customHeight="1" x14ac:dyDescent="0.25">
      <c r="A24" s="2" t="s">
        <v>18</v>
      </c>
      <c r="B24" s="32">
        <f>HBEP!E25</f>
        <v>0</v>
      </c>
      <c r="C24" s="35">
        <f>LIP!E25</f>
        <v>1157.5</v>
      </c>
      <c r="D24" s="64">
        <f>MSCIP!E25</f>
        <v>5000</v>
      </c>
      <c r="E24" s="65">
        <f>NWLLIP!E25</f>
        <v>1885.76</v>
      </c>
      <c r="F24" s="67">
        <f>SLIP!F25</f>
        <v>4600</v>
      </c>
      <c r="G24" s="68">
        <f>County!E25</f>
        <v>12643.26</v>
      </c>
      <c r="H24" s="79"/>
      <c r="I24" s="79"/>
      <c r="J24" s="79"/>
      <c r="K24" s="79"/>
      <c r="L24" s="79"/>
      <c r="M24" s="79"/>
      <c r="N24" s="79"/>
      <c r="O24" s="79"/>
      <c r="P24" s="79"/>
      <c r="Q24" s="79"/>
      <c r="R24" s="79"/>
      <c r="S24" s="79"/>
      <c r="T24" s="79"/>
      <c r="U24" s="79"/>
    </row>
    <row r="25" spans="1:21" ht="15" customHeight="1" x14ac:dyDescent="0.25">
      <c r="A25" s="2" t="s">
        <v>19</v>
      </c>
      <c r="B25" s="32">
        <f>HBEP!E26</f>
        <v>0</v>
      </c>
      <c r="C25" s="35">
        <f>LIP!E26</f>
        <v>10000</v>
      </c>
      <c r="D25" s="64">
        <f>MSCIP!E26</f>
        <v>5000</v>
      </c>
      <c r="E25" s="65">
        <f>NWLLIP!E26</f>
        <v>650</v>
      </c>
      <c r="F25" s="67">
        <f>SLIP!F26</f>
        <v>5900</v>
      </c>
      <c r="G25" s="68">
        <f>County!E26</f>
        <v>21550</v>
      </c>
      <c r="H25" s="79"/>
      <c r="I25" s="79"/>
      <c r="J25" s="79"/>
      <c r="K25" s="79"/>
      <c r="L25" s="79"/>
      <c r="M25" s="79"/>
      <c r="N25" s="79"/>
      <c r="O25" s="79"/>
      <c r="P25" s="79"/>
      <c r="Q25" s="79"/>
      <c r="R25" s="79"/>
      <c r="S25" s="79"/>
      <c r="T25" s="79"/>
      <c r="U25" s="79"/>
    </row>
    <row r="26" spans="1:21" ht="15" customHeight="1" x14ac:dyDescent="0.25">
      <c r="A26" s="2" t="s">
        <v>75</v>
      </c>
      <c r="B26" s="32">
        <f>HBEP!E27</f>
        <v>0</v>
      </c>
      <c r="C26" s="35">
        <f>LIP!E27</f>
        <v>17000</v>
      </c>
      <c r="D26" s="64">
        <f>MSCIP!E27</f>
        <v>20000</v>
      </c>
      <c r="E26" s="65">
        <f>NWLLIP!E27</f>
        <v>0</v>
      </c>
      <c r="F26" s="67">
        <f>SLIP!F27</f>
        <v>22200</v>
      </c>
      <c r="G26" s="68">
        <f>County!E27</f>
        <v>59200</v>
      </c>
      <c r="H26" s="79"/>
      <c r="I26" s="79"/>
      <c r="J26" s="79"/>
      <c r="K26" s="79"/>
      <c r="L26" s="79"/>
      <c r="M26" s="79"/>
      <c r="N26" s="79"/>
      <c r="O26" s="79"/>
      <c r="P26" s="79"/>
      <c r="Q26" s="79"/>
      <c r="R26" s="79"/>
      <c r="S26" s="79"/>
      <c r="T26" s="79"/>
      <c r="U26" s="79"/>
    </row>
    <row r="27" spans="1:21" ht="15" customHeight="1" x14ac:dyDescent="0.25">
      <c r="A27" s="2" t="s">
        <v>12</v>
      </c>
      <c r="B27" s="32">
        <f>HBEP!E28</f>
        <v>2000</v>
      </c>
      <c r="C27" s="35">
        <f>LIP!E28</f>
        <v>7000</v>
      </c>
      <c r="D27" s="64">
        <f>MSCIP!E28</f>
        <v>8000</v>
      </c>
      <c r="E27" s="65">
        <f>NWLLIP!E28</f>
        <v>20000</v>
      </c>
      <c r="F27" s="67">
        <f>SLIP!F28</f>
        <v>2000</v>
      </c>
      <c r="G27" s="68">
        <f>County!E28</f>
        <v>39000</v>
      </c>
      <c r="H27" s="79"/>
      <c r="I27" s="79"/>
      <c r="J27" s="79"/>
      <c r="K27" s="79"/>
      <c r="L27" s="79"/>
      <c r="M27" s="79"/>
      <c r="N27" s="79"/>
      <c r="O27" s="79"/>
      <c r="P27" s="79"/>
      <c r="Q27" s="79"/>
      <c r="R27" s="79"/>
      <c r="S27" s="79"/>
      <c r="T27" s="79"/>
      <c r="U27" s="79"/>
    </row>
    <row r="28" spans="1:21" s="77" customFormat="1" ht="15" customHeight="1" x14ac:dyDescent="0.25">
      <c r="A28" s="76" t="s">
        <v>30</v>
      </c>
      <c r="D28" s="78"/>
      <c r="G28" s="78"/>
      <c r="H28" s="79"/>
      <c r="I28" s="79"/>
      <c r="J28" s="79"/>
      <c r="K28" s="79"/>
      <c r="L28" s="79"/>
      <c r="M28" s="79"/>
      <c r="N28" s="79"/>
      <c r="O28" s="79"/>
      <c r="P28" s="79"/>
      <c r="Q28" s="79"/>
      <c r="R28" s="79"/>
      <c r="S28" s="79"/>
      <c r="T28" s="79"/>
      <c r="U28" s="79"/>
    </row>
    <row r="29" spans="1:21" ht="15" customHeight="1" x14ac:dyDescent="0.25">
      <c r="A29" s="2" t="s">
        <v>20</v>
      </c>
      <c r="B29" s="32">
        <f>HBEP!E30</f>
        <v>15000</v>
      </c>
      <c r="C29" s="35">
        <f>LIP!E30</f>
        <v>0</v>
      </c>
      <c r="D29" s="64">
        <f>MSCIP!E30</f>
        <v>20000</v>
      </c>
      <c r="E29" s="65">
        <f>NWLLIP!E30</f>
        <v>6500</v>
      </c>
      <c r="F29" s="67">
        <f>SLIP!F30</f>
        <v>37000</v>
      </c>
      <c r="G29" s="68">
        <f>County!E30</f>
        <v>78500</v>
      </c>
      <c r="H29" s="79"/>
      <c r="I29" s="79"/>
      <c r="J29" s="79"/>
      <c r="K29" s="79"/>
      <c r="L29" s="79"/>
      <c r="M29" s="79"/>
      <c r="N29" s="79"/>
      <c r="O29" s="79"/>
      <c r="P29" s="79"/>
      <c r="Q29" s="79"/>
      <c r="R29" s="79"/>
      <c r="S29" s="79"/>
      <c r="T29" s="79"/>
      <c r="U29" s="79"/>
    </row>
    <row r="30" spans="1:21" ht="15" customHeight="1" x14ac:dyDescent="0.25">
      <c r="A30" s="3" t="s">
        <v>21</v>
      </c>
      <c r="B30" s="32">
        <f>HBEP!E31</f>
        <v>0</v>
      </c>
      <c r="C30" s="35">
        <f>LIP!E31</f>
        <v>12000</v>
      </c>
      <c r="D30" s="64">
        <f>MSCIP!E31</f>
        <v>0</v>
      </c>
      <c r="E30" s="65">
        <f>NWLLIP!E31</f>
        <v>0</v>
      </c>
      <c r="F30" s="67">
        <f>SLIP!F31</f>
        <v>0</v>
      </c>
      <c r="G30" s="68">
        <f>County!E31</f>
        <v>12000</v>
      </c>
      <c r="H30" s="79"/>
      <c r="I30" s="79"/>
      <c r="J30" s="79"/>
      <c r="K30" s="79"/>
      <c r="L30" s="79"/>
      <c r="M30" s="79"/>
      <c r="N30" s="79"/>
      <c r="O30" s="79"/>
      <c r="P30" s="79"/>
      <c r="Q30" s="79"/>
      <c r="R30" s="79"/>
      <c r="S30" s="79"/>
      <c r="T30" s="79"/>
      <c r="U30" s="79"/>
    </row>
    <row r="31" spans="1:21" ht="15" customHeight="1" x14ac:dyDescent="0.25">
      <c r="A31" s="3" t="s">
        <v>22</v>
      </c>
      <c r="B31" s="32">
        <f>HBEP!E32</f>
        <v>0</v>
      </c>
      <c r="C31" s="35">
        <f>LIP!E32</f>
        <v>400</v>
      </c>
      <c r="D31" s="64">
        <f>MSCIP!E32</f>
        <v>0</v>
      </c>
      <c r="E31" s="65">
        <f>NWLLIP!E32</f>
        <v>0</v>
      </c>
      <c r="F31" s="67">
        <f>SLIP!F32</f>
        <v>0</v>
      </c>
      <c r="G31" s="68">
        <f>County!E32</f>
        <v>400</v>
      </c>
      <c r="H31" s="79"/>
      <c r="I31" s="79"/>
      <c r="J31" s="79"/>
      <c r="K31" s="79"/>
      <c r="L31" s="79"/>
      <c r="M31" s="79"/>
      <c r="N31" s="79"/>
      <c r="O31" s="79"/>
      <c r="P31" s="79"/>
      <c r="Q31" s="79"/>
      <c r="R31" s="79"/>
      <c r="S31" s="79"/>
      <c r="T31" s="79"/>
      <c r="U31" s="79"/>
    </row>
    <row r="32" spans="1:21" ht="15" customHeight="1" x14ac:dyDescent="0.25">
      <c r="A32" s="3" t="s">
        <v>23</v>
      </c>
      <c r="B32" s="32">
        <f>HBEP!E33</f>
        <v>0</v>
      </c>
      <c r="C32" s="35">
        <f>LIP!E33</f>
        <v>15000</v>
      </c>
      <c r="D32" s="64">
        <f>MSCIP!E33</f>
        <v>0</v>
      </c>
      <c r="E32" s="65">
        <f>NWLLIP!E33</f>
        <v>0</v>
      </c>
      <c r="F32" s="67">
        <f>SLIP!F33</f>
        <v>0</v>
      </c>
      <c r="G32" s="68">
        <f>County!E33</f>
        <v>15000</v>
      </c>
      <c r="H32" s="79"/>
      <c r="I32" s="79"/>
      <c r="J32" s="79"/>
      <c r="K32" s="79"/>
      <c r="L32" s="79"/>
      <c r="M32" s="79"/>
      <c r="N32" s="79"/>
      <c r="O32" s="79"/>
      <c r="P32" s="79"/>
      <c r="Q32" s="79"/>
      <c r="R32" s="79"/>
      <c r="S32" s="79"/>
      <c r="T32" s="79"/>
      <c r="U32" s="79"/>
    </row>
    <row r="33" spans="1:21" ht="15" customHeight="1" x14ac:dyDescent="0.25">
      <c r="A33" s="3" t="s">
        <v>24</v>
      </c>
      <c r="B33" s="32">
        <f>HBEP!E34</f>
        <v>0</v>
      </c>
      <c r="C33" s="35">
        <f>LIP!E34</f>
        <v>7289</v>
      </c>
      <c r="D33" s="64">
        <f>MSCIP!E34</f>
        <v>0</v>
      </c>
      <c r="E33" s="65">
        <f>NWLLIP!E34</f>
        <v>0</v>
      </c>
      <c r="F33" s="67">
        <f>SLIP!F34</f>
        <v>100</v>
      </c>
      <c r="G33" s="68">
        <f>County!E34</f>
        <v>7389</v>
      </c>
      <c r="H33" s="79"/>
      <c r="I33" s="79"/>
      <c r="J33" s="79"/>
      <c r="K33" s="79"/>
      <c r="L33" s="79"/>
      <c r="M33" s="79"/>
      <c r="N33" s="79"/>
      <c r="O33" s="79"/>
      <c r="P33" s="79"/>
      <c r="Q33" s="79"/>
      <c r="R33" s="79"/>
      <c r="S33" s="79"/>
      <c r="T33" s="79"/>
      <c r="U33" s="79"/>
    </row>
    <row r="34" spans="1:21" ht="15" customHeight="1" x14ac:dyDescent="0.25">
      <c r="A34" s="3" t="s">
        <v>25</v>
      </c>
      <c r="B34" s="32">
        <f>HBEP!E35</f>
        <v>0</v>
      </c>
      <c r="C34" s="35">
        <f>LIP!E35</f>
        <v>3230</v>
      </c>
      <c r="D34" s="64">
        <f>MSCIP!E35</f>
        <v>0</v>
      </c>
      <c r="E34" s="65">
        <f>NWLLIP!E35</f>
        <v>0</v>
      </c>
      <c r="F34" s="67">
        <f>SLIP!F35</f>
        <v>1200</v>
      </c>
      <c r="G34" s="68">
        <f>County!E35</f>
        <v>4430</v>
      </c>
      <c r="H34" s="79"/>
      <c r="I34" s="79"/>
      <c r="J34" s="79"/>
      <c r="K34" s="79"/>
      <c r="L34" s="79"/>
      <c r="M34" s="79"/>
      <c r="N34" s="79"/>
      <c r="O34" s="79"/>
      <c r="P34" s="79"/>
      <c r="Q34" s="79"/>
      <c r="R34" s="79"/>
      <c r="S34" s="79"/>
      <c r="T34" s="79"/>
      <c r="U34" s="79"/>
    </row>
    <row r="35" spans="1:21" s="77" customFormat="1" ht="15" customHeight="1" x14ac:dyDescent="0.25">
      <c r="A35" s="76" t="s">
        <v>31</v>
      </c>
      <c r="D35" s="78"/>
      <c r="G35" s="78"/>
      <c r="H35" s="79"/>
      <c r="I35" s="79"/>
      <c r="J35" s="79"/>
      <c r="K35" s="79"/>
      <c r="L35" s="79"/>
      <c r="M35" s="79"/>
      <c r="N35" s="79"/>
      <c r="O35" s="79"/>
      <c r="P35" s="79"/>
      <c r="Q35" s="79"/>
      <c r="R35" s="79"/>
      <c r="S35" s="79"/>
      <c r="T35" s="79"/>
      <c r="U35" s="79"/>
    </row>
    <row r="36" spans="1:21" ht="15" customHeight="1" x14ac:dyDescent="0.25">
      <c r="A36" s="2" t="s">
        <v>26</v>
      </c>
      <c r="B36" s="32">
        <f>HBEP!E37</f>
        <v>0</v>
      </c>
      <c r="C36" s="35">
        <f>LIP!E37</f>
        <v>0</v>
      </c>
      <c r="D36" s="64">
        <f>MSCIP!E37</f>
        <v>0</v>
      </c>
      <c r="E36" s="65">
        <f>NWLLIP!E37</f>
        <v>0</v>
      </c>
      <c r="F36" s="67">
        <f>SLIP!F37</f>
        <v>0</v>
      </c>
      <c r="G36" s="68">
        <f>County!E37</f>
        <v>0</v>
      </c>
      <c r="H36" s="79"/>
      <c r="I36" s="79"/>
      <c r="J36" s="79"/>
      <c r="K36" s="79"/>
      <c r="L36" s="79"/>
      <c r="M36" s="79"/>
      <c r="N36" s="79"/>
      <c r="O36" s="79"/>
      <c r="P36" s="79"/>
      <c r="Q36" s="79"/>
      <c r="R36" s="79"/>
      <c r="S36" s="79"/>
      <c r="T36" s="79"/>
      <c r="U36" s="79"/>
    </row>
    <row r="37" spans="1:21" ht="15" customHeight="1" x14ac:dyDescent="0.25">
      <c r="A37" s="2" t="s">
        <v>27</v>
      </c>
      <c r="B37" s="32">
        <f>HBEP!E38</f>
        <v>0</v>
      </c>
      <c r="C37" s="35">
        <f>LIP!E38</f>
        <v>0</v>
      </c>
      <c r="D37" s="64">
        <f>MSCIP!E38</f>
        <v>105000</v>
      </c>
      <c r="E37" s="65">
        <f>NWLLIP!E38</f>
        <v>0</v>
      </c>
      <c r="F37" s="67">
        <f>SLIP!F38</f>
        <v>0</v>
      </c>
      <c r="G37" s="68">
        <f>County!E38</f>
        <v>105000</v>
      </c>
      <c r="H37" s="79"/>
      <c r="I37" s="79"/>
      <c r="J37" s="79"/>
      <c r="K37" s="79"/>
      <c r="L37" s="79"/>
      <c r="M37" s="79"/>
      <c r="N37" s="79"/>
      <c r="O37" s="79"/>
      <c r="P37" s="79"/>
      <c r="Q37" s="79"/>
      <c r="R37" s="79"/>
      <c r="S37" s="79"/>
      <c r="T37" s="79"/>
      <c r="U37" s="79"/>
    </row>
    <row r="38" spans="1:21" s="77" customFormat="1" ht="15" customHeight="1" x14ac:dyDescent="0.25">
      <c r="A38" s="76" t="s">
        <v>32</v>
      </c>
      <c r="D38" s="78"/>
      <c r="G38" s="78"/>
      <c r="H38" s="79"/>
      <c r="I38" s="79"/>
      <c r="J38" s="79"/>
      <c r="K38" s="79"/>
      <c r="L38" s="79"/>
      <c r="M38" s="79"/>
      <c r="N38" s="79"/>
      <c r="O38" s="79"/>
      <c r="P38" s="79"/>
      <c r="Q38" s="79"/>
      <c r="R38" s="79"/>
      <c r="S38" s="79"/>
      <c r="T38" s="79"/>
      <c r="U38" s="79"/>
    </row>
    <row r="39" spans="1:21" ht="15" customHeight="1" x14ac:dyDescent="0.25">
      <c r="A39" s="2" t="s">
        <v>28</v>
      </c>
      <c r="B39" s="32">
        <f>HBEP!E40</f>
        <v>319228</v>
      </c>
      <c r="C39" s="35">
        <f>LIP!E40</f>
        <v>227000</v>
      </c>
      <c r="D39" s="64">
        <f>MSCIP!E40</f>
        <v>150000</v>
      </c>
      <c r="E39" s="65">
        <f>NWLLIP!E40</f>
        <v>305499.15000000002</v>
      </c>
      <c r="F39" s="67">
        <f>SLIP!F40</f>
        <v>200000</v>
      </c>
      <c r="G39" s="68">
        <f>County!E40</f>
        <v>1201727.1499999999</v>
      </c>
      <c r="H39" s="79"/>
      <c r="I39" s="79"/>
      <c r="J39" s="79"/>
      <c r="K39" s="79"/>
      <c r="L39" s="79"/>
      <c r="M39" s="79"/>
      <c r="N39" s="79"/>
      <c r="O39" s="79"/>
      <c r="P39" s="79"/>
      <c r="Q39" s="79"/>
      <c r="R39" s="79"/>
      <c r="S39" s="79"/>
      <c r="T39" s="79"/>
      <c r="U39" s="79"/>
    </row>
    <row r="40" spans="1:21" ht="15" customHeight="1" x14ac:dyDescent="0.25">
      <c r="A40" s="2" t="s">
        <v>29</v>
      </c>
      <c r="B40" s="32">
        <f>HBEP!E41</f>
        <v>94062</v>
      </c>
      <c r="C40" s="35">
        <f>LIP!E41</f>
        <v>60000</v>
      </c>
      <c r="D40" s="64">
        <f>MSCIP!E41</f>
        <v>80000</v>
      </c>
      <c r="E40" s="65">
        <f>NWLLIP!E41</f>
        <v>104503.85</v>
      </c>
      <c r="F40" s="67">
        <f>SLIP!F41</f>
        <v>10000</v>
      </c>
      <c r="G40" s="68">
        <f>County!E41</f>
        <v>348565.85</v>
      </c>
    </row>
    <row r="41" spans="1:21" ht="15" customHeight="1" x14ac:dyDescent="0.25">
      <c r="A41" s="2" t="s">
        <v>76</v>
      </c>
      <c r="B41" s="32">
        <f>HBEP!E42</f>
        <v>0</v>
      </c>
      <c r="C41" s="35">
        <f>LIP!E42</f>
        <v>0</v>
      </c>
      <c r="D41" s="64">
        <f>MSCIP!E42</f>
        <v>5000</v>
      </c>
      <c r="E41" s="65">
        <f>NWLLIP!E42</f>
        <v>0</v>
      </c>
      <c r="F41" s="67">
        <f>SLIP!F42</f>
        <v>0</v>
      </c>
      <c r="G41" s="68">
        <f>County!E42</f>
        <v>5000</v>
      </c>
    </row>
    <row r="42" spans="1:21" ht="15" customHeight="1" x14ac:dyDescent="0.25">
      <c r="A42" s="2"/>
      <c r="B42" s="32">
        <f>HBEP!E43</f>
        <v>0</v>
      </c>
      <c r="C42" s="35">
        <f>LIP!E43</f>
        <v>0</v>
      </c>
      <c r="D42" s="64">
        <f>MSCIP!E43</f>
        <v>0</v>
      </c>
      <c r="E42" s="65">
        <f>NWLLIP!E43</f>
        <v>0</v>
      </c>
      <c r="F42" s="67">
        <f>SLIP!F43</f>
        <v>0</v>
      </c>
      <c r="G42" s="68">
        <f>County!E43</f>
        <v>0</v>
      </c>
    </row>
    <row r="43" spans="1:21" ht="15" customHeight="1" x14ac:dyDescent="0.25">
      <c r="A43" s="2" t="s">
        <v>36</v>
      </c>
      <c r="B43" s="63">
        <f>HBEP!E44</f>
        <v>726233.87</v>
      </c>
      <c r="C43" s="34">
        <f>LIP!E44</f>
        <v>758826.17999999993</v>
      </c>
      <c r="D43" s="44">
        <f>MSCIP!E44</f>
        <v>591091</v>
      </c>
      <c r="E43" s="66">
        <f>NWLLIP!E44</f>
        <v>545174.76</v>
      </c>
      <c r="F43" s="31">
        <f>SLIP!F44</f>
        <v>844072.75999999989</v>
      </c>
      <c r="G43" s="69">
        <f>County!D44</f>
        <v>2773442.55</v>
      </c>
    </row>
    <row r="44" spans="1:21" ht="15" customHeight="1" x14ac:dyDescent="0.25">
      <c r="A44" s="1" t="s">
        <v>51</v>
      </c>
      <c r="B44" s="63">
        <f>HBEP!E45</f>
        <v>58945.140000000014</v>
      </c>
      <c r="C44" s="34">
        <f>LIP!E45</f>
        <v>188300.17999999993</v>
      </c>
      <c r="D44" s="44">
        <f>MSCIP!E45</f>
        <v>38395</v>
      </c>
      <c r="E44" s="66">
        <f>NWLLIP!E45</f>
        <v>91669.760000000009</v>
      </c>
      <c r="F44" s="31">
        <f>SLIP!F45</f>
        <v>43471.759999999893</v>
      </c>
      <c r="G44" s="69">
        <f>County!D45</f>
        <v>-271174.18000000017</v>
      </c>
    </row>
    <row r="45" spans="1:21" ht="15" customHeight="1" x14ac:dyDescent="0.25">
      <c r="A45" s="1" t="s">
        <v>52</v>
      </c>
      <c r="B45" s="63">
        <f>HBEP!E46</f>
        <v>-189122.86</v>
      </c>
      <c r="C45" s="34">
        <f>LIP!E46</f>
        <v>-42337.220000000059</v>
      </c>
      <c r="D45" s="44">
        <f>MSCIP!E46</f>
        <v>-40725</v>
      </c>
      <c r="E45" s="66">
        <f>NWLLIP!E46</f>
        <v>-439233</v>
      </c>
      <c r="F45" s="31">
        <f>SLIP!F46</f>
        <v>-130878.24000000011</v>
      </c>
      <c r="G45" s="69">
        <f>County!D46</f>
        <v>-1350912.8200000003</v>
      </c>
    </row>
    <row r="46" spans="1:21" ht="1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HBEP</vt:lpstr>
      <vt:lpstr>LIP</vt:lpstr>
      <vt:lpstr>MSCIP</vt:lpstr>
      <vt:lpstr>NWLLIP</vt:lpstr>
      <vt:lpstr>SLIP</vt:lpstr>
      <vt:lpstr>County</vt:lpstr>
      <vt:lpstr>Budgets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Stephenson</dc:creator>
  <cp:lastModifiedBy>Adrian Stephenson</cp:lastModifiedBy>
  <cp:lastPrinted>2021-11-05T12:06:22Z</cp:lastPrinted>
  <dcterms:created xsi:type="dcterms:W3CDTF">2021-05-14T15:12:49Z</dcterms:created>
  <dcterms:modified xsi:type="dcterms:W3CDTF">2022-06-25T14:28:22Z</dcterms:modified>
</cp:coreProperties>
</file>